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Inputs" sheetId="2" state="visible" r:id="rId4"/>
    <sheet name="Pricer" sheetId="3" state="visible" r:id="rId5"/>
    <sheet name="Scenarios" sheetId="4" state="visible" r:id="rId6"/>
    <sheet name="Paths" sheetId="5" state="visible" r:id="rId7"/>
    <sheet name="Checks" sheetId="6" state="visible" r:id="rId8"/>
  </sheets>
  <calcPr iterateCount="100" refMode="A1" iterate="false" iterateDelta="0.0001"/>
</workbook>
</file>

<file path=xl/sharedStrings.xml><?xml version="1.0" encoding="utf-8"?>
<sst xmlns="http://schemas.openxmlformats.org/spreadsheetml/2006/main" count="220" uniqueCount="170">
  <si>
    <t xml:space="preserve">S&amp;P 500 Hedging Analysis: Volatility Surface and Collar Pricing</t>
  </si>
  <si>
    <t xml:space="preserve">Hedge pricer · Prepared by Alessandro Radice · Educational project, not investment advice · August 2025</t>
  </si>
  <si>
    <t xml:space="preserve">Question</t>
  </si>
  <si>
    <t xml:space="preserve">On 1 April 2025, the day before the reciprocal tariffs, which hedge should a $500M US equity book (beta 1) buy, at what cost, and how should it be managed?</t>
  </si>
  <si>
    <t xml:space="preserve">Inputs</t>
  </si>
  <si>
    <t xml:space="preserve">Market on 1 April (parity-implied SPY, rates, dividend yield), the SVI smile of the 30 May expiry fitted on 1 April, portfolio size, and the four structures with their real bid/ask quotes.</t>
  </si>
  <si>
    <t xml:space="preserve">Pricer</t>
  </si>
  <si>
    <t xml:space="preserve">Black-76 on the SVI implied vol for every leg: model price, delta, vega, execution price at the quotes; net premium, cost and Greeks of each structure.</t>
  </si>
  <si>
    <t xml:space="preserve">Scenarios</t>
  </si>
  <si>
    <t xml:space="preserve">The selected structure at expiry across SPY levels, and before expiry under a spot shock, a horizon and a parallel vol shift (sticky moneyness).</t>
  </si>
  <si>
    <t xml:space="preserve">Paths</t>
  </si>
  <si>
    <t xml:space="preserve">Daily marks from the fitted surface, 1 April to 30 May: portfolio value unhedged, hedged and held, or hedged and sold at the first close with the VIX at or above the trigger.</t>
  </si>
  <si>
    <t xml:space="preserve">Checks</t>
  </si>
  <si>
    <t xml:space="preserve">Reconciliation with the Python engine: 1 April model prices and the 30 May portfolio values for all four structures.</t>
  </si>
  <si>
    <t xml:space="preserve">Switches</t>
  </si>
  <si>
    <t xml:space="preserve">Inputs!C5 selects the structure (1 to 4), Inputs!C6 the management rule (1 = hold, 2 = sell at the VIX trigger), Inputs!C7 the VIX trigger.</t>
  </si>
  <si>
    <t xml:space="preserve">Colour code</t>
  </si>
  <si>
    <t xml:space="preserve">Blue = hard-coded input · Black = formula · Green = link to another sheet · Yellow fill = switch.</t>
  </si>
  <si>
    <t xml:space="preserve">Where the surface comes from</t>
  </si>
  <si>
    <t xml:space="preserve">The volatility surface is calibrated daily in Python (SP500_Hedging_Analysis.ipynb). This workbook takes its 1 April slice and its daily marks as inputs; every other number is a live formula.</t>
  </si>
  <si>
    <t xml:space="preserve">Sources</t>
  </si>
  <si>
    <t xml:space="preserve">SPY option chains and prices: DoltHub post-no-preference/options and /stocks. VIX: Cboe. Treasury yields: FRED.</t>
  </si>
  <si>
    <t xml:space="preserve">Prices per share unless stated · 1 April 2025 after the close · SPY options expiring 30 May 2025</t>
  </si>
  <si>
    <t xml:space="preserve">Selected structure (1 to 4)</t>
  </si>
  <si>
    <t xml:space="preserve">Management rule (1 = hold to expiry, 2 = sell at VIX trigger)</t>
  </si>
  <si>
    <t xml:space="preserve">VIX trigger (sell at the first close at or above)</t>
  </si>
  <si>
    <t xml:space="preserve">Market, 1 April 2025</t>
  </si>
  <si>
    <t xml:space="preserve">Value</t>
  </si>
  <si>
    <t xml:space="preserve">Note / source</t>
  </si>
  <si>
    <t xml:space="preserve">Valuation date</t>
  </si>
  <si>
    <t xml:space="preserve">Decision day, after the close</t>
  </si>
  <si>
    <t xml:space="preserve">Expiry</t>
  </si>
  <si>
    <t xml:space="preserve">Listed SPY monthly expiry</t>
  </si>
  <si>
    <t xml:space="preserve">Days to expiry</t>
  </si>
  <si>
    <t xml:space="preserve">Time to expiry, years</t>
  </si>
  <si>
    <t xml:space="preserve">Calendar days / 365</t>
  </si>
  <si>
    <t xml:space="preserve">SPY at the quote snapshot</t>
  </si>
  <si>
    <t xml:space="preserve">Median put-call-parity spot across near-the-money strikes (close: 560.97)</t>
  </si>
  <si>
    <t xml:space="preserve">Risk-free rate, continuous</t>
  </si>
  <si>
    <t xml:space="preserve">FRED constant-maturity Treasury curve at 59 days, ln(1 + y)</t>
  </si>
  <si>
    <t xml:space="preserve">Dividend yield</t>
  </si>
  <si>
    <t xml:space="preserve">Assumption</t>
  </si>
  <si>
    <t xml:space="preserve">Forward</t>
  </si>
  <si>
    <t xml:space="preserve">F = S e^((r − q) T)</t>
  </si>
  <si>
    <t xml:space="preserve">Discount factor</t>
  </si>
  <si>
    <t xml:space="preserve">SVI slice, 30 May expiry, fitted on 1 April</t>
  </si>
  <si>
    <t xml:space="preserve">a</t>
  </si>
  <si>
    <t xml:space="preserve">Raw SVI total variance: w(k) = a + b(ρ(k − m) + √((k − m)² + σ²)), k = ln(K/F)</t>
  </si>
  <si>
    <t xml:space="preserve">b</t>
  </si>
  <si>
    <t xml:space="preserve">Fitted in Python to the 1 April quotes with no-arbitrage penalties (notebook, section 3)</t>
  </si>
  <si>
    <t xml:space="preserve">rho (ρ)</t>
  </si>
  <si>
    <t xml:space="preserve">m</t>
  </si>
  <si>
    <t xml:space="preserve">sigma (σ)</t>
  </si>
  <si>
    <t xml:space="preserve">Portfolio</t>
  </si>
  <si>
    <t xml:space="preserve">Portfolio value ($)</t>
  </si>
  <si>
    <t xml:space="preserve">US equity book</t>
  </si>
  <si>
    <t xml:space="preserve">Beta to the S&amp;P 500</t>
  </si>
  <si>
    <t xml:space="preserve">Contract multiplier</t>
  </si>
  <si>
    <t xml:space="preserve">SPY options</t>
  </si>
  <si>
    <t xml:space="preserve">Contracts</t>
  </si>
  <si>
    <t xml:space="preserve">Covers the whole beta-adjusted book</t>
  </si>
  <si>
    <t xml:space="preserve">Structure legs</t>
  </si>
  <si>
    <t xml:space="preserve">Structure #</t>
  </si>
  <si>
    <t xml:space="preserve">Strike</t>
  </si>
  <si>
    <t xml:space="preserve">Type</t>
  </si>
  <si>
    <t xml:space="preserve">Quantity</t>
  </si>
  <si>
    <t xml:space="preserve">Bid, 1 Apr</t>
  </si>
  <si>
    <t xml:space="preserve">Ask, 1 Apr</t>
  </si>
  <si>
    <t xml:space="preserve">Quantity: +1 = buy, −1 = sell, per contract of the book</t>
  </si>
  <si>
    <t xml:space="preserve">Long put 539</t>
  </si>
  <si>
    <t xml:space="preserve">P</t>
  </si>
  <si>
    <t xml:space="preserve">Real end-of-day quotes, DoltHub post-no-preference/options, 1 April 2025</t>
  </si>
  <si>
    <t xml:space="preserve">Put spread 539/475</t>
  </si>
  <si>
    <t xml:space="preserve">Collar 539/583</t>
  </si>
  <si>
    <t xml:space="preserve">C</t>
  </si>
  <si>
    <t xml:space="preserve">Put-spread collar 539/475/583</t>
  </si>
  <si>
    <t xml:space="preserve">Black-76 on the SVI implied vol · prices per share · Greeks per share unless stated</t>
  </si>
  <si>
    <t xml:space="preserve">Leg</t>
  </si>
  <si>
    <t xml:space="preserve">k = ln(K/F)</t>
  </si>
  <si>
    <t xml:space="preserve">Total var w</t>
  </si>
  <si>
    <t xml:space="preserve">Implied vol</t>
  </si>
  <si>
    <t xml:space="preserve">d1</t>
  </si>
  <si>
    <t xml:space="preserve">d2</t>
  </si>
  <si>
    <t xml:space="preserve">Model price</t>
  </si>
  <si>
    <t xml:space="preserve">Delta</t>
  </si>
  <si>
    <t xml:space="preserve">Vega (1 pt)</t>
  </si>
  <si>
    <t xml:space="preserve">Quote mid</t>
  </si>
  <si>
    <t xml:space="preserve">Model − mid</t>
  </si>
  <si>
    <t xml:space="preserve">Execution</t>
  </si>
  <si>
    <t xml:space="preserve">Execution: pay the ask on legs bought, receive the bid on legs sold. Vega per 1 vol point. Delta on spot, with dividends.</t>
  </si>
  <si>
    <t xml:space="preserve">Structure</t>
  </si>
  <si>
    <t xml:space="preserve">Premium at quotes</t>
  </si>
  <si>
    <t xml:space="preserve">Model value</t>
  </si>
  <si>
    <t xml:space="preserve">Cost ($M)</t>
  </si>
  <si>
    <t xml:space="preserve">% of NAV</t>
  </si>
  <si>
    <t xml:space="preserve">Delta (book)</t>
  </si>
  <si>
    <t xml:space="preserve">Vega ($k / pt)</t>
  </si>
  <si>
    <t xml:space="preserve">Selected</t>
  </si>
  <si>
    <t xml:space="preserve">Selected structure</t>
  </si>
  <si>
    <t xml:space="preserve">Delta (book): net delta per share of the structure; −1.00 would fully offset the book. A negative premium is a credit.</t>
  </si>
  <si>
    <t xml:space="preserve">Selected structure · $M unless stated</t>
  </si>
  <si>
    <t xml:space="preserve">Legs of the selected structure</t>
  </si>
  <si>
    <t xml:space="preserve">First leg row</t>
  </si>
  <si>
    <t xml:space="preserve">Leg 1</t>
  </si>
  <si>
    <t xml:space="preserve">Leg 2</t>
  </si>
  <si>
    <t xml:space="preserve">Leg 3</t>
  </si>
  <si>
    <t xml:space="preserve">Unused legs carry a zero quantity.</t>
  </si>
  <si>
    <t xml:space="preserve">At expiry: SPY level</t>
  </si>
  <si>
    <t xml:space="preserve">Change vs 1 Apr</t>
  </si>
  <si>
    <t xml:space="preserve">Book, unhedged</t>
  </si>
  <si>
    <t xml:space="preserve">Hedge payoff</t>
  </si>
  <si>
    <t xml:space="preserve">Premium paid</t>
  </si>
  <si>
    <t xml:space="preserve">Book, hedged</t>
  </si>
  <si>
    <t xml:space="preserve">Hedged vs unhedged</t>
  </si>
  <si>
    <t xml:space="preserve">Before expiry: horizon inputs</t>
  </si>
  <si>
    <t xml:space="preserve">Days elapsed after 1 April</t>
  </si>
  <si>
    <t xml:space="preserve">Parallel vol shift (vol points)</t>
  </si>
  <si>
    <t xml:space="preserve">Time to expiry at horizon, years</t>
  </si>
  <si>
    <t xml:space="preserve">Sticky moneyness: each leg keeps its SVI implied vol at the same k = ln(K/F), plus the shift.</t>
  </si>
  <si>
    <t xml:space="preserve">Spot shock</t>
  </si>
  <si>
    <t xml:space="preserve">SPY</t>
  </si>
  <si>
    <t xml:space="preserve">Leg 1 value</t>
  </si>
  <si>
    <t xml:space="preserve">Leg 2 value</t>
  </si>
  <si>
    <t xml:space="preserve">Leg 3 value</t>
  </si>
  <si>
    <t xml:space="preserve">Structure value</t>
  </si>
  <si>
    <t xml:space="preserve">Hedge P&amp;L</t>
  </si>
  <si>
    <t xml:space="preserve">Daily, 1 April to 30 May 2025 · marks per share from the fitted surface · $M unless stated</t>
  </si>
  <si>
    <t xml:space="preserve">Position in 475P, per contract</t>
  </si>
  <si>
    <t xml:space="preserve">Position in 539P, per contract</t>
  </si>
  <si>
    <t xml:space="preserve">Position in 583C, per contract</t>
  </si>
  <si>
    <t xml:space="preserve">Premium paid per share, 1 April</t>
  </si>
  <si>
    <t xml:space="preserve">Exit row (first close with VIX at or above the trigger)</t>
  </si>
  <si>
    <t xml:space="preserve">Exit date</t>
  </si>
  <si>
    <t xml:space="preserve">Exit value per share</t>
  </si>
  <si>
    <t xml:space="preserve">Portfolio value at the SPY low ($M)</t>
  </si>
  <si>
    <t xml:space="preserve">Maximum drawdown</t>
  </si>
  <si>
    <t xml:space="preserve">Portfolio value on 30 May ($M)</t>
  </si>
  <si>
    <t xml:space="preserve">Unhedged on 30 May ($M)</t>
  </si>
  <si>
    <t xml:space="preserve">Hedged vs unhedged on 30 May ($M)</t>
  </si>
  <si>
    <t xml:space="preserve">Date</t>
  </si>
  <si>
    <t xml:space="preserve">VIX</t>
  </si>
  <si>
    <t xml:space="preserve">Mark 475P</t>
  </si>
  <si>
    <t xml:space="preserve">Mark 539P</t>
  </si>
  <si>
    <t xml:space="preserve">Mark 583C</t>
  </si>
  <si>
    <t xml:space="preserve">Structure mark</t>
  </si>
  <si>
    <t xml:space="preserve">Exit value</t>
  </si>
  <si>
    <t xml:space="preserve">Sold</t>
  </si>
  <si>
    <t xml:space="preserve">Hedged, held</t>
  </si>
  <si>
    <t xml:space="preserve">Hedged, sold</t>
  </si>
  <si>
    <t xml:space="preserve">Selected rule</t>
  </si>
  <si>
    <t xml:space="preserve">Peak</t>
  </si>
  <si>
    <t xml:space="preserve">Drawdown</t>
  </si>
  <si>
    <t xml:space="preserve">Half-spr 475P</t>
  </si>
  <si>
    <t xml:space="preserve">Half-spr 539P</t>
  </si>
  <si>
    <t xml:space="preserve">Half-spr 583C</t>
  </si>
  <si>
    <t xml:space="preserve">Marks: model mid from that day's fitted surface (Python). Exit value: mark less half the quoted bid-ask spread on each leg. Once sold, the book stays long the index with the cash from the hedge.</t>
  </si>
  <si>
    <t xml:space="preserve">Reconciliation with the Python engine (notebook sections 8 and 10)</t>
  </si>
  <si>
    <t xml:space="preserve">1 April model price per share</t>
  </si>
  <si>
    <t xml:space="preserve">Excel</t>
  </si>
  <si>
    <t xml:space="preserve">Python</t>
  </si>
  <si>
    <t xml:space="preserve">Difference</t>
  </si>
  <si>
    <t xml:space="preserve">OK</t>
  </si>
  <si>
    <t xml:space="preserve">475P</t>
  </si>
  <si>
    <t xml:space="preserve">539P</t>
  </si>
  <si>
    <t xml:space="preserve">583C</t>
  </si>
  <si>
    <t xml:space="preserve">Portfolio value on 30 May ($M), VIX trigger 40</t>
  </si>
  <si>
    <t xml:space="preserve">Held (Python)</t>
  </si>
  <si>
    <t xml:space="preserve">Sold (Python)</t>
  </si>
  <si>
    <t xml:space="preserve">Selected structure and rule</t>
  </si>
  <si>
    <t xml:space="preserve">Python values are rounded to $0.01M. The 30 May check applies with the VIX trigger at 40, the setting used in the notebook.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</si>
</sst>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0.0"/>
    <numFmt numFmtId="166" formatCode="d\ mmm\ yyyy"/>
    <numFmt numFmtId="167" formatCode="0"/>
    <numFmt numFmtId="168" formatCode="0.0000"/>
    <numFmt numFmtId="169" formatCode="#,##0.00;\(#,##0.00\);\–"/>
    <numFmt numFmtId="170" formatCode="0.00%"/>
    <numFmt numFmtId="171" formatCode="0.000000"/>
    <numFmt numFmtId="172" formatCode="0.00000000"/>
    <numFmt numFmtId="173" formatCode="#,##0"/>
    <numFmt numFmtId="174" formatCode="0.00"/>
    <numFmt numFmtId="175" formatCode="\+0;\−0"/>
    <numFmt numFmtId="176" formatCode="0.000"/>
    <numFmt numFmtId="177" formatCode="#,##0.0;\(#,##0.0\);\–"/>
    <numFmt numFmtId="178" formatCode="\+0;\−0;0"/>
    <numFmt numFmtId="179" formatCode="0.0%"/>
    <numFmt numFmtId="180" formatCode="\+0.0;\−0.0;0.0"/>
    <numFmt numFmtId="181" formatCode="\+0.0%;\−0.0%;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color rgb="FF66655E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CEBE5"/>
      </patternFill>
    </fill>
    <fill>
      <patternFill patternType="solid">
        <fgColor rgb="FF1A1A18"/>
        <bgColor rgb="FF003300"/>
      </patternFill>
    </fill>
    <fill>
      <patternFill patternType="solid">
        <fgColor rgb="FFECEBE5"/>
        <bgColor rgb="FFFFF2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0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1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CEBE5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55E"/>
      <rgbColor rgb="FF969696"/>
      <rgbColor rgb="FF003366"/>
      <rgbColor rgb="FF339966"/>
      <rgbColor rgb="FF003300"/>
      <rgbColor rgb="FF1A1A18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7"/>
    <col collapsed="false" customWidth="true" hidden="false" outlineLevel="0" max="2" min="2" style="0" width="22"/>
    <col collapsed="false" customWidth="true" hidden="false" outlineLevel="0" max="3" min="3" style="0" width="110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6" customFormat="false" ht="27" hidden="false" customHeight="true" outlineLevel="0" collapsed="false">
      <c r="B6" s="3" t="s">
        <v>2</v>
      </c>
      <c r="C6" s="4" t="s">
        <v>3</v>
      </c>
    </row>
    <row r="7" customFormat="false" ht="27" hidden="false" customHeight="true" outlineLevel="0" collapsed="false">
      <c r="B7" s="3" t="s">
        <v>4</v>
      </c>
      <c r="C7" s="4" t="s">
        <v>5</v>
      </c>
    </row>
    <row r="8" customFormat="false" ht="27" hidden="false" customHeight="true" outlineLevel="0" collapsed="false">
      <c r="B8" s="3" t="s">
        <v>6</v>
      </c>
      <c r="C8" s="4" t="s">
        <v>7</v>
      </c>
    </row>
    <row r="9" customFormat="false" ht="27" hidden="false" customHeight="true" outlineLevel="0" collapsed="false">
      <c r="B9" s="3" t="s">
        <v>8</v>
      </c>
      <c r="C9" s="4" t="s">
        <v>9</v>
      </c>
    </row>
    <row r="10" customFormat="false" ht="27" hidden="false" customHeight="true" outlineLevel="0" collapsed="false">
      <c r="B10" s="3" t="s">
        <v>10</v>
      </c>
      <c r="C10" s="4" t="s">
        <v>11</v>
      </c>
    </row>
    <row r="11" customFormat="false" ht="27" hidden="false" customHeight="true" outlineLevel="0" collapsed="false">
      <c r="B11" s="3" t="s">
        <v>12</v>
      </c>
      <c r="C11" s="4" t="s">
        <v>13</v>
      </c>
    </row>
    <row r="12" customFormat="false" ht="27" hidden="false" customHeight="true" outlineLevel="0" collapsed="false">
      <c r="B12" s="3" t="s">
        <v>14</v>
      </c>
      <c r="C12" s="4" t="s">
        <v>15</v>
      </c>
    </row>
    <row r="13" customFormat="false" ht="27" hidden="false" customHeight="true" outlineLevel="0" collapsed="false">
      <c r="B13" s="3" t="s">
        <v>16</v>
      </c>
      <c r="C13" s="4" t="s">
        <v>17</v>
      </c>
    </row>
    <row r="14" customFormat="false" ht="27" hidden="false" customHeight="true" outlineLevel="0" collapsed="false">
      <c r="B14" s="3" t="s">
        <v>18</v>
      </c>
      <c r="C14" s="4" t="s">
        <v>19</v>
      </c>
    </row>
    <row r="15" customFormat="false" ht="27" hidden="false" customHeight="true" outlineLevel="0" collapsed="false">
      <c r="B15" s="3" t="s">
        <v>20</v>
      </c>
      <c r="C15" s="4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7"/>
    <col collapsed="false" customWidth="true" hidden="false" outlineLevel="0" max="2" min="2" style="0" width="52"/>
    <col collapsed="false" customWidth="true" hidden="false" outlineLevel="0" max="4" min="3" style="0" width="15"/>
    <col collapsed="false" customWidth="true" hidden="false" outlineLevel="0" max="8" min="5" style="0" width="12"/>
    <col collapsed="false" customWidth="true" hidden="false" outlineLevel="0" max="9" min="9" style="0" width="60"/>
  </cols>
  <sheetData>
    <row r="2" customFormat="false" ht="17.35" hidden="false" customHeight="false" outlineLevel="0" collapsed="false">
      <c r="B2" s="1" t="s">
        <v>4</v>
      </c>
    </row>
    <row r="3" customFormat="false" ht="15" hidden="false" customHeight="false" outlineLevel="0" collapsed="false">
      <c r="B3" s="2" t="s">
        <v>22</v>
      </c>
    </row>
    <row r="5" customFormat="false" ht="15" hidden="false" customHeight="false" outlineLevel="0" collapsed="false">
      <c r="B5" s="5" t="s">
        <v>23</v>
      </c>
      <c r="C5" s="6" t="n">
        <v>3</v>
      </c>
      <c r="D5" s="5" t="str">
        <f aca="false">CHOOSE($C$5,"Long put 539","Put spread 539/475","Collar 539/583","Put-spread collar 539/475/583")</f>
        <v>Collar 539/583</v>
      </c>
    </row>
    <row r="6" customFormat="false" ht="15" hidden="false" customHeight="false" outlineLevel="0" collapsed="false">
      <c r="B6" s="5" t="s">
        <v>24</v>
      </c>
      <c r="C6" s="6" t="n">
        <v>2</v>
      </c>
      <c r="D6" s="5" t="str">
        <f aca="false">CHOOSE($C$6,"Hold to expiry","Sell at VIX trigger")</f>
        <v>Sell at VIX trigger</v>
      </c>
    </row>
    <row r="7" customFormat="false" ht="15" hidden="false" customHeight="false" outlineLevel="0" collapsed="false">
      <c r="B7" s="5" t="s">
        <v>25</v>
      </c>
      <c r="C7" s="7" t="n">
        <v>40</v>
      </c>
    </row>
    <row r="9" customFormat="false" ht="15" hidden="false" customHeight="false" outlineLevel="0" collapsed="false">
      <c r="B9" s="8" t="s">
        <v>26</v>
      </c>
      <c r="C9" s="9" t="s">
        <v>27</v>
      </c>
      <c r="I9" s="10" t="s">
        <v>28</v>
      </c>
    </row>
    <row r="10" customFormat="false" ht="15" hidden="false" customHeight="false" outlineLevel="0" collapsed="false">
      <c r="B10" s="11" t="s">
        <v>29</v>
      </c>
      <c r="C10" s="12" t="n">
        <v>45748</v>
      </c>
      <c r="I10" s="2" t="s">
        <v>30</v>
      </c>
    </row>
    <row r="11" customFormat="false" ht="15" hidden="false" customHeight="false" outlineLevel="0" collapsed="false">
      <c r="B11" s="11" t="s">
        <v>31</v>
      </c>
      <c r="C11" s="12" t="n">
        <v>45807</v>
      </c>
      <c r="I11" s="2" t="s">
        <v>32</v>
      </c>
    </row>
    <row r="12" customFormat="false" ht="15" hidden="false" customHeight="false" outlineLevel="0" collapsed="false">
      <c r="B12" s="11" t="s">
        <v>33</v>
      </c>
      <c r="C12" s="13" t="n">
        <f aca="false">C11-C10</f>
        <v>59</v>
      </c>
      <c r="I12" s="2"/>
    </row>
    <row r="13" customFormat="false" ht="15" hidden="false" customHeight="false" outlineLevel="0" collapsed="false">
      <c r="B13" s="11" t="s">
        <v>34</v>
      </c>
      <c r="C13" s="14" t="n">
        <f aca="false">C12/365</f>
        <v>0.161643835616438</v>
      </c>
      <c r="I13" s="2" t="s">
        <v>35</v>
      </c>
    </row>
    <row r="14" customFormat="false" ht="15" hidden="false" customHeight="false" outlineLevel="0" collapsed="false">
      <c r="B14" s="11" t="s">
        <v>36</v>
      </c>
      <c r="C14" s="15" t="n">
        <v>561.3562</v>
      </c>
      <c r="I14" s="2" t="s">
        <v>37</v>
      </c>
    </row>
    <row r="15" customFormat="false" ht="15" hidden="false" customHeight="false" outlineLevel="0" collapsed="false">
      <c r="B15" s="11" t="s">
        <v>38</v>
      </c>
      <c r="C15" s="16" t="n">
        <v>0.042598</v>
      </c>
      <c r="I15" s="2" t="s">
        <v>39</v>
      </c>
    </row>
    <row r="16" customFormat="false" ht="15" hidden="false" customHeight="false" outlineLevel="0" collapsed="false">
      <c r="B16" s="11" t="s">
        <v>40</v>
      </c>
      <c r="C16" s="16" t="n">
        <v>0.0125</v>
      </c>
      <c r="I16" s="2" t="s">
        <v>41</v>
      </c>
    </row>
    <row r="17" customFormat="false" ht="15" hidden="false" customHeight="false" outlineLevel="0" collapsed="false">
      <c r="B17" s="11" t="s">
        <v>42</v>
      </c>
      <c r="C17" s="17" t="n">
        <f aca="false">C14*EXP((C15-C16)*C13)</f>
        <v>564.093939942893</v>
      </c>
      <c r="I17" s="2" t="s">
        <v>43</v>
      </c>
    </row>
    <row r="18" customFormat="false" ht="15" hidden="false" customHeight="false" outlineLevel="0" collapsed="false">
      <c r="B18" s="11" t="s">
        <v>44</v>
      </c>
      <c r="C18" s="18" t="n">
        <f aca="false">EXP(-C15*C13)</f>
        <v>0.9931379480326</v>
      </c>
      <c r="I18" s="2"/>
    </row>
    <row r="20" customFormat="false" ht="15" hidden="false" customHeight="false" outlineLevel="0" collapsed="false">
      <c r="B20" s="8" t="s">
        <v>45</v>
      </c>
      <c r="C20" s="9" t="s">
        <v>27</v>
      </c>
      <c r="I20" s="10" t="s">
        <v>28</v>
      </c>
    </row>
    <row r="21" customFormat="false" ht="15" hidden="false" customHeight="false" outlineLevel="0" collapsed="false">
      <c r="B21" s="11" t="s">
        <v>46</v>
      </c>
      <c r="C21" s="19" t="n">
        <v>-0.01685478</v>
      </c>
      <c r="I21" s="2" t="s">
        <v>47</v>
      </c>
    </row>
    <row r="22" customFormat="false" ht="15" hidden="false" customHeight="false" outlineLevel="0" collapsed="false">
      <c r="B22" s="11" t="s">
        <v>48</v>
      </c>
      <c r="C22" s="19" t="n">
        <v>0.07740504</v>
      </c>
      <c r="I22" s="2" t="s">
        <v>49</v>
      </c>
    </row>
    <row r="23" customFormat="false" ht="15" hidden="false" customHeight="false" outlineLevel="0" collapsed="false">
      <c r="B23" s="11" t="s">
        <v>50</v>
      </c>
      <c r="C23" s="19" t="n">
        <v>-0.1223511</v>
      </c>
    </row>
    <row r="24" customFormat="false" ht="15" hidden="false" customHeight="false" outlineLevel="0" collapsed="false">
      <c r="B24" s="11" t="s">
        <v>51</v>
      </c>
      <c r="C24" s="19" t="n">
        <v>0.08324237</v>
      </c>
    </row>
    <row r="25" customFormat="false" ht="15" hidden="false" customHeight="false" outlineLevel="0" collapsed="false">
      <c r="B25" s="11" t="s">
        <v>52</v>
      </c>
      <c r="C25" s="19" t="n">
        <v>0.25777742</v>
      </c>
    </row>
    <row r="27" customFormat="false" ht="15" hidden="false" customHeight="false" outlineLevel="0" collapsed="false">
      <c r="B27" s="8" t="s">
        <v>53</v>
      </c>
      <c r="C27" s="9" t="s">
        <v>27</v>
      </c>
      <c r="I27" s="10" t="s">
        <v>28</v>
      </c>
    </row>
    <row r="28" customFormat="false" ht="15" hidden="false" customHeight="false" outlineLevel="0" collapsed="false">
      <c r="B28" s="11" t="s">
        <v>54</v>
      </c>
      <c r="C28" s="20" t="n">
        <v>500000000</v>
      </c>
      <c r="I28" s="2" t="s">
        <v>55</v>
      </c>
    </row>
    <row r="29" customFormat="false" ht="15" hidden="false" customHeight="false" outlineLevel="0" collapsed="false">
      <c r="B29" s="11" t="s">
        <v>56</v>
      </c>
      <c r="C29" s="21" t="n">
        <v>1</v>
      </c>
      <c r="I29" s="2" t="s">
        <v>41</v>
      </c>
    </row>
    <row r="30" customFormat="false" ht="15" hidden="false" customHeight="false" outlineLevel="0" collapsed="false">
      <c r="B30" s="11" t="s">
        <v>57</v>
      </c>
      <c r="C30" s="20" t="n">
        <v>100</v>
      </c>
      <c r="I30" s="2" t="s">
        <v>58</v>
      </c>
    </row>
    <row r="31" customFormat="false" ht="15" hidden="false" customHeight="false" outlineLevel="0" collapsed="false">
      <c r="B31" s="11" t="s">
        <v>59</v>
      </c>
      <c r="C31" s="22" t="n">
        <f aca="false">C28*C29/(C14*C30)</f>
        <v>8907.00058180528</v>
      </c>
      <c r="I31" s="2" t="s">
        <v>60</v>
      </c>
    </row>
    <row r="33" customFormat="false" ht="15" hidden="false" customHeight="false" outlineLevel="0" collapsed="false">
      <c r="B33" s="8" t="s">
        <v>61</v>
      </c>
      <c r="C33" s="9" t="s">
        <v>62</v>
      </c>
      <c r="D33" s="9" t="s">
        <v>63</v>
      </c>
      <c r="E33" s="9" t="s">
        <v>64</v>
      </c>
      <c r="F33" s="9" t="s">
        <v>65</v>
      </c>
      <c r="G33" s="9" t="s">
        <v>66</v>
      </c>
      <c r="H33" s="9" t="s">
        <v>67</v>
      </c>
      <c r="I33" s="10" t="s">
        <v>68</v>
      </c>
    </row>
    <row r="34" customFormat="false" ht="15" hidden="false" customHeight="false" outlineLevel="0" collapsed="false">
      <c r="B34" s="11" t="s">
        <v>69</v>
      </c>
      <c r="C34" s="23" t="n">
        <v>1</v>
      </c>
      <c r="D34" s="23" t="n">
        <v>539</v>
      </c>
      <c r="E34" s="24" t="s">
        <v>70</v>
      </c>
      <c r="F34" s="25" t="n">
        <v>1</v>
      </c>
      <c r="G34" s="15" t="n">
        <v>8.3</v>
      </c>
      <c r="H34" s="15" t="n">
        <v>8.36</v>
      </c>
      <c r="I34" s="2" t="s">
        <v>71</v>
      </c>
    </row>
    <row r="35" customFormat="false" ht="15" hidden="false" customHeight="false" outlineLevel="0" collapsed="false">
      <c r="B35" s="11" t="s">
        <v>72</v>
      </c>
      <c r="C35" s="23" t="n">
        <v>2</v>
      </c>
      <c r="D35" s="23" t="n">
        <v>539</v>
      </c>
      <c r="E35" s="24" t="s">
        <v>70</v>
      </c>
      <c r="F35" s="25" t="n">
        <v>1</v>
      </c>
      <c r="G35" s="15" t="n">
        <v>8.3</v>
      </c>
      <c r="H35" s="15" t="n">
        <v>8.36</v>
      </c>
    </row>
    <row r="36" customFormat="false" ht="15" hidden="false" customHeight="false" outlineLevel="0" collapsed="false">
      <c r="B36" s="11" t="s">
        <v>72</v>
      </c>
      <c r="C36" s="23" t="n">
        <v>2</v>
      </c>
      <c r="D36" s="23" t="n">
        <v>475</v>
      </c>
      <c r="E36" s="24" t="s">
        <v>70</v>
      </c>
      <c r="F36" s="25" t="n">
        <v>-1</v>
      </c>
      <c r="G36" s="15" t="n">
        <v>1.77</v>
      </c>
      <c r="H36" s="15" t="n">
        <v>1.79</v>
      </c>
    </row>
    <row r="37" customFormat="false" ht="15" hidden="false" customHeight="false" outlineLevel="0" collapsed="false">
      <c r="B37" s="11" t="s">
        <v>73</v>
      </c>
      <c r="C37" s="23" t="n">
        <v>3</v>
      </c>
      <c r="D37" s="23" t="n">
        <v>539</v>
      </c>
      <c r="E37" s="24" t="s">
        <v>70</v>
      </c>
      <c r="F37" s="25" t="n">
        <v>1</v>
      </c>
      <c r="G37" s="15" t="n">
        <v>8.3</v>
      </c>
      <c r="H37" s="15" t="n">
        <v>8.36</v>
      </c>
    </row>
    <row r="38" customFormat="false" ht="15" hidden="false" customHeight="false" outlineLevel="0" collapsed="false">
      <c r="B38" s="11" t="s">
        <v>73</v>
      </c>
      <c r="C38" s="23" t="n">
        <v>3</v>
      </c>
      <c r="D38" s="23" t="n">
        <v>583</v>
      </c>
      <c r="E38" s="24" t="s">
        <v>74</v>
      </c>
      <c r="F38" s="25" t="n">
        <v>-1</v>
      </c>
      <c r="G38" s="15" t="n">
        <v>6.96</v>
      </c>
      <c r="H38" s="15" t="n">
        <v>7.01</v>
      </c>
    </row>
    <row r="39" customFormat="false" ht="15" hidden="false" customHeight="false" outlineLevel="0" collapsed="false">
      <c r="B39" s="11" t="s">
        <v>75</v>
      </c>
      <c r="C39" s="23" t="n">
        <v>4</v>
      </c>
      <c r="D39" s="23" t="n">
        <v>539</v>
      </c>
      <c r="E39" s="24" t="s">
        <v>70</v>
      </c>
      <c r="F39" s="25" t="n">
        <v>1</v>
      </c>
      <c r="G39" s="15" t="n">
        <v>8.3</v>
      </c>
      <c r="H39" s="15" t="n">
        <v>8.36</v>
      </c>
    </row>
    <row r="40" customFormat="false" ht="15" hidden="false" customHeight="false" outlineLevel="0" collapsed="false">
      <c r="B40" s="11" t="s">
        <v>75</v>
      </c>
      <c r="C40" s="23" t="n">
        <v>4</v>
      </c>
      <c r="D40" s="23" t="n">
        <v>475</v>
      </c>
      <c r="E40" s="24" t="s">
        <v>70</v>
      </c>
      <c r="F40" s="25" t="n">
        <v>-1</v>
      </c>
      <c r="G40" s="15" t="n">
        <v>1.77</v>
      </c>
      <c r="H40" s="15" t="n">
        <v>1.79</v>
      </c>
    </row>
    <row r="41" customFormat="false" ht="15" hidden="false" customHeight="false" outlineLevel="0" collapsed="false">
      <c r="B41" s="11" t="s">
        <v>75</v>
      </c>
      <c r="C41" s="23" t="n">
        <v>4</v>
      </c>
      <c r="D41" s="23" t="n">
        <v>583</v>
      </c>
      <c r="E41" s="24" t="s">
        <v>74</v>
      </c>
      <c r="F41" s="25" t="n">
        <v>-1</v>
      </c>
      <c r="G41" s="15" t="n">
        <v>6.96</v>
      </c>
      <c r="H41" s="15" t="n">
        <v>7.01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Q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7"/>
    <col collapsed="false" customWidth="true" hidden="false" outlineLevel="0" max="2" min="2" style="0" width="34"/>
    <col collapsed="false" customWidth="true" hidden="false" outlineLevel="0" max="3" min="3" style="0" width="11"/>
    <col collapsed="false" customWidth="true" hidden="false" outlineLevel="0" max="4" min="4" style="0" width="9"/>
    <col collapsed="false" customWidth="true" hidden="false" outlineLevel="0" max="5" min="5" style="0" width="7"/>
    <col collapsed="false" customWidth="true" hidden="false" outlineLevel="0" max="6" min="6" style="0" width="9"/>
    <col collapsed="false" customWidth="true" hidden="false" outlineLevel="0" max="8" min="7" style="0" width="11"/>
    <col collapsed="false" customWidth="true" hidden="false" outlineLevel="0" max="9" min="9" style="0" width="10"/>
    <col collapsed="false" customWidth="true" hidden="false" outlineLevel="0" max="12" min="10" style="0" width="11"/>
    <col collapsed="false" customWidth="true" hidden="false" outlineLevel="0" max="14" min="13" style="0" width="10"/>
    <col collapsed="false" customWidth="true" hidden="false" outlineLevel="0" max="17" min="15" style="0" width="11"/>
  </cols>
  <sheetData>
    <row r="2" customFormat="false" ht="17.35" hidden="false" customHeight="false" outlineLevel="0" collapsed="false">
      <c r="B2" s="1" t="s">
        <v>6</v>
      </c>
    </row>
    <row r="3" customFormat="false" ht="15" hidden="false" customHeight="false" outlineLevel="0" collapsed="false">
      <c r="B3" s="2" t="s">
        <v>76</v>
      </c>
    </row>
    <row r="5" customFormat="false" ht="15" hidden="false" customHeight="false" outlineLevel="0" collapsed="false">
      <c r="B5" s="8" t="s">
        <v>77</v>
      </c>
      <c r="C5" s="9" t="s">
        <v>62</v>
      </c>
      <c r="D5" s="9" t="s">
        <v>63</v>
      </c>
      <c r="E5" s="9" t="s">
        <v>64</v>
      </c>
      <c r="F5" s="9" t="s">
        <v>65</v>
      </c>
      <c r="G5" s="9" t="s">
        <v>78</v>
      </c>
      <c r="H5" s="9" t="s">
        <v>79</v>
      </c>
      <c r="I5" s="9" t="s">
        <v>80</v>
      </c>
      <c r="J5" s="9" t="s">
        <v>81</v>
      </c>
      <c r="K5" s="9" t="s">
        <v>82</v>
      </c>
      <c r="L5" s="9" t="s">
        <v>83</v>
      </c>
      <c r="M5" s="9" t="s">
        <v>84</v>
      </c>
      <c r="N5" s="9" t="s">
        <v>85</v>
      </c>
      <c r="O5" s="9" t="s">
        <v>86</v>
      </c>
      <c r="P5" s="9" t="s">
        <v>87</v>
      </c>
      <c r="Q5" s="9" t="s">
        <v>88</v>
      </c>
    </row>
    <row r="6" customFormat="false" ht="15" hidden="false" customHeight="false" outlineLevel="0" collapsed="false">
      <c r="B6" s="26" t="str">
        <f aca="false">Inputs!B34</f>
        <v>Long put 539</v>
      </c>
      <c r="C6" s="27" t="n">
        <f aca="false">Inputs!C34</f>
        <v>1</v>
      </c>
      <c r="D6" s="27" t="n">
        <f aca="false">Inputs!D34</f>
        <v>539</v>
      </c>
      <c r="E6" s="28" t="str">
        <f aca="false">Inputs!E34</f>
        <v>P</v>
      </c>
      <c r="F6" s="29" t="n">
        <f aca="false">Inputs!F34</f>
        <v>1</v>
      </c>
      <c r="G6" s="14" t="n">
        <f aca="false">LN(D6/Inputs!$C$17)</f>
        <v>-0.0455052269018892</v>
      </c>
      <c r="H6" s="18" t="n">
        <f aca="false">Inputs!$C$21+Inputs!$C$22*(Inputs!$C$23*(G6-Inputs!$C$24)+SQRT((G6-Inputs!$C$24)^2+Inputs!$C$25^2))</f>
        <v>0.00666808895082445</v>
      </c>
      <c r="I6" s="30" t="n">
        <f aca="false">SQRT(H6/Inputs!$C$13)</f>
        <v>0.203105235603804</v>
      </c>
      <c r="J6" s="14" t="n">
        <f aca="false">(LN(Inputs!$C$17/D6)+H6/2)/SQRT(H6)</f>
        <v>0.598092675490643</v>
      </c>
      <c r="K6" s="14" t="n">
        <f aca="false">J6-SQRT(H6)</f>
        <v>0.516434308186218</v>
      </c>
      <c r="L6" s="17" t="n">
        <f aca="false">Inputs!$C$18*IF(E6="C",Inputs!$C$17*NORMSDIST(J6)-D6*NORMSDIST(K6),D6*NORMSDIST(-K6)-Inputs!$C$17*NORMSDIST(-J6))</f>
        <v>8.07696986290198</v>
      </c>
      <c r="M6" s="31" t="n">
        <f aca="false">EXP(-Inputs!$C$16*Inputs!$C$13)*IF(E6="C",NORMSDIST(J6),NORMSDIST(J6)-1)</f>
        <v>-0.274334182878225</v>
      </c>
      <c r="N6" s="31" t="n">
        <f aca="false">Inputs!$C$14*EXP(-Inputs!$C$16*Inputs!$C$13)*EXP(-(J6^2)/2)/SQRT(2*PI())*SQRT(Inputs!$C$13)/100</f>
        <v>0.751404614567933</v>
      </c>
      <c r="O6" s="32" t="n">
        <f aca="false">(Inputs!G34+Inputs!H34)/2</f>
        <v>8.33</v>
      </c>
      <c r="P6" s="17" t="n">
        <f aca="false">L6-O6</f>
        <v>-0.253030137098021</v>
      </c>
      <c r="Q6" s="32" t="n">
        <f aca="false">IF(F6&gt;0,Inputs!H34,Inputs!G34)</f>
        <v>8.36</v>
      </c>
    </row>
    <row r="7" customFormat="false" ht="15" hidden="false" customHeight="false" outlineLevel="0" collapsed="false">
      <c r="B7" s="26" t="str">
        <f aca="false">Inputs!B35</f>
        <v>Put spread 539/475</v>
      </c>
      <c r="C7" s="27" t="n">
        <f aca="false">Inputs!C35</f>
        <v>2</v>
      </c>
      <c r="D7" s="27" t="n">
        <f aca="false">Inputs!D35</f>
        <v>539</v>
      </c>
      <c r="E7" s="28" t="str">
        <f aca="false">Inputs!E35</f>
        <v>P</v>
      </c>
      <c r="F7" s="29" t="n">
        <f aca="false">Inputs!F35</f>
        <v>1</v>
      </c>
      <c r="G7" s="14" t="n">
        <f aca="false">LN(D7/Inputs!$C$17)</f>
        <v>-0.0455052269018892</v>
      </c>
      <c r="H7" s="18" t="n">
        <f aca="false">Inputs!$C$21+Inputs!$C$22*(Inputs!$C$23*(G7-Inputs!$C$24)+SQRT((G7-Inputs!$C$24)^2+Inputs!$C$25^2))</f>
        <v>0.00666808895082445</v>
      </c>
      <c r="I7" s="30" t="n">
        <f aca="false">SQRT(H7/Inputs!$C$13)</f>
        <v>0.203105235603804</v>
      </c>
      <c r="J7" s="14" t="n">
        <f aca="false">(LN(Inputs!$C$17/D7)+H7/2)/SQRT(H7)</f>
        <v>0.598092675490643</v>
      </c>
      <c r="K7" s="14" t="n">
        <f aca="false">J7-SQRT(H7)</f>
        <v>0.516434308186218</v>
      </c>
      <c r="L7" s="17" t="n">
        <f aca="false">Inputs!$C$18*IF(E7="C",Inputs!$C$17*NORMSDIST(J7)-D7*NORMSDIST(K7),D7*NORMSDIST(-K7)-Inputs!$C$17*NORMSDIST(-J7))</f>
        <v>8.07696986290198</v>
      </c>
      <c r="M7" s="31" t="n">
        <f aca="false">EXP(-Inputs!$C$16*Inputs!$C$13)*IF(E7="C",NORMSDIST(J7),NORMSDIST(J7)-1)</f>
        <v>-0.274334182878225</v>
      </c>
      <c r="N7" s="31" t="n">
        <f aca="false">Inputs!$C$14*EXP(-Inputs!$C$16*Inputs!$C$13)*EXP(-(J7^2)/2)/SQRT(2*PI())*SQRT(Inputs!$C$13)/100</f>
        <v>0.751404614567933</v>
      </c>
      <c r="O7" s="32" t="n">
        <f aca="false">(Inputs!G35+Inputs!H35)/2</f>
        <v>8.33</v>
      </c>
      <c r="P7" s="17" t="n">
        <f aca="false">L7-O7</f>
        <v>-0.253030137098021</v>
      </c>
      <c r="Q7" s="32" t="n">
        <f aca="false">IF(F7&gt;0,Inputs!H35,Inputs!G35)</f>
        <v>8.36</v>
      </c>
    </row>
    <row r="8" customFormat="false" ht="15" hidden="false" customHeight="false" outlineLevel="0" collapsed="false">
      <c r="B8" s="26" t="str">
        <f aca="false">Inputs!B36</f>
        <v>Put spread 539/475</v>
      </c>
      <c r="C8" s="27" t="n">
        <f aca="false">Inputs!C36</f>
        <v>2</v>
      </c>
      <c r="D8" s="27" t="n">
        <f aca="false">Inputs!D36</f>
        <v>475</v>
      </c>
      <c r="E8" s="28" t="str">
        <f aca="false">Inputs!E36</f>
        <v>P</v>
      </c>
      <c r="F8" s="29" t="n">
        <f aca="false">Inputs!F36</f>
        <v>-1</v>
      </c>
      <c r="G8" s="14" t="n">
        <f aca="false">LN(D8/Inputs!$C$17)</f>
        <v>-0.171905993776245</v>
      </c>
      <c r="H8" s="18" t="n">
        <f aca="false">Inputs!$C$21+Inputs!$C$22*(Inputs!$C$23*(G8-Inputs!$C$24)+SQRT((G8-Inputs!$C$24)^2+Inputs!$C$25^2))</f>
        <v>0.0136362841690994</v>
      </c>
      <c r="I8" s="30" t="n">
        <f aca="false">SQRT(H8/Inputs!$C$13)</f>
        <v>0.290448038519839</v>
      </c>
      <c r="J8" s="14" t="n">
        <f aca="false">(LN(Inputs!$C$17/D8)+H8/2)/SQRT(H8)</f>
        <v>1.53050652129783</v>
      </c>
      <c r="K8" s="14" t="n">
        <f aca="false">J8-SQRT(H8)</f>
        <v>1.41373201993259</v>
      </c>
      <c r="L8" s="17" t="n">
        <f aca="false">Inputs!$C$18*IF(E8="C",Inputs!$C$17*NORMSDIST(J8)-D8*NORMSDIST(K8),D8*NORMSDIST(-K8)-Inputs!$C$17*NORMSDIST(-J8))</f>
        <v>1.87192048753099</v>
      </c>
      <c r="M8" s="31" t="n">
        <f aca="false">EXP(-Inputs!$C$16*Inputs!$C$13)*IF(E8="C",NORMSDIST(J8),NORMSDIST(J8)-1)</f>
        <v>-0.0628186438623753</v>
      </c>
      <c r="N8" s="31" t="n">
        <f aca="false">Inputs!$C$14*EXP(-Inputs!$C$16*Inputs!$C$13)*EXP(-(J8^2)/2)/SQRT(2*PI())*SQRT(Inputs!$C$13)/100</f>
        <v>0.278544155056668</v>
      </c>
      <c r="O8" s="32" t="n">
        <f aca="false">(Inputs!G36+Inputs!H36)/2</f>
        <v>1.78</v>
      </c>
      <c r="P8" s="17" t="n">
        <f aca="false">L8-O8</f>
        <v>0.091920487530992</v>
      </c>
      <c r="Q8" s="32" t="n">
        <f aca="false">IF(F8&gt;0,Inputs!H36,Inputs!G36)</f>
        <v>1.77</v>
      </c>
    </row>
    <row r="9" customFormat="false" ht="15" hidden="false" customHeight="false" outlineLevel="0" collapsed="false">
      <c r="B9" s="26" t="str">
        <f aca="false">Inputs!B37</f>
        <v>Collar 539/583</v>
      </c>
      <c r="C9" s="27" t="n">
        <f aca="false">Inputs!C37</f>
        <v>3</v>
      </c>
      <c r="D9" s="27" t="n">
        <f aca="false">Inputs!D37</f>
        <v>539</v>
      </c>
      <c r="E9" s="28" t="str">
        <f aca="false">Inputs!E37</f>
        <v>P</v>
      </c>
      <c r="F9" s="29" t="n">
        <f aca="false">Inputs!F37</f>
        <v>1</v>
      </c>
      <c r="G9" s="14" t="n">
        <f aca="false">LN(D9/Inputs!$C$17)</f>
        <v>-0.0455052269018892</v>
      </c>
      <c r="H9" s="18" t="n">
        <f aca="false">Inputs!$C$21+Inputs!$C$22*(Inputs!$C$23*(G9-Inputs!$C$24)+SQRT((G9-Inputs!$C$24)^2+Inputs!$C$25^2))</f>
        <v>0.00666808895082445</v>
      </c>
      <c r="I9" s="30" t="n">
        <f aca="false">SQRT(H9/Inputs!$C$13)</f>
        <v>0.203105235603804</v>
      </c>
      <c r="J9" s="14" t="n">
        <f aca="false">(LN(Inputs!$C$17/D9)+H9/2)/SQRT(H9)</f>
        <v>0.598092675490643</v>
      </c>
      <c r="K9" s="14" t="n">
        <f aca="false">J9-SQRT(H9)</f>
        <v>0.516434308186218</v>
      </c>
      <c r="L9" s="17" t="n">
        <f aca="false">Inputs!$C$18*IF(E9="C",Inputs!$C$17*NORMSDIST(J9)-D9*NORMSDIST(K9),D9*NORMSDIST(-K9)-Inputs!$C$17*NORMSDIST(-J9))</f>
        <v>8.07696986290198</v>
      </c>
      <c r="M9" s="31" t="n">
        <f aca="false">EXP(-Inputs!$C$16*Inputs!$C$13)*IF(E9="C",NORMSDIST(J9),NORMSDIST(J9)-1)</f>
        <v>-0.274334182878225</v>
      </c>
      <c r="N9" s="31" t="n">
        <f aca="false">Inputs!$C$14*EXP(-Inputs!$C$16*Inputs!$C$13)*EXP(-(J9^2)/2)/SQRT(2*PI())*SQRT(Inputs!$C$13)/100</f>
        <v>0.751404614567933</v>
      </c>
      <c r="O9" s="32" t="n">
        <f aca="false">(Inputs!G37+Inputs!H37)/2</f>
        <v>8.33</v>
      </c>
      <c r="P9" s="17" t="n">
        <f aca="false">L9-O9</f>
        <v>-0.253030137098021</v>
      </c>
      <c r="Q9" s="32" t="n">
        <f aca="false">IF(F9&gt;0,Inputs!H37,Inputs!G37)</f>
        <v>8.36</v>
      </c>
    </row>
    <row r="10" customFormat="false" ht="15" hidden="false" customHeight="false" outlineLevel="0" collapsed="false">
      <c r="B10" s="26" t="str">
        <f aca="false">Inputs!B38</f>
        <v>Collar 539/583</v>
      </c>
      <c r="C10" s="27" t="n">
        <f aca="false">Inputs!C38</f>
        <v>3</v>
      </c>
      <c r="D10" s="27" t="n">
        <f aca="false">Inputs!D38</f>
        <v>583</v>
      </c>
      <c r="E10" s="28" t="str">
        <f aca="false">Inputs!E38</f>
        <v>C</v>
      </c>
      <c r="F10" s="29" t="n">
        <f aca="false">Inputs!F38</f>
        <v>-1</v>
      </c>
      <c r="G10" s="14" t="n">
        <f aca="false">LN(D10/Inputs!$C$17)</f>
        <v>0.0329663885396059</v>
      </c>
      <c r="H10" s="18" t="n">
        <f aca="false">Inputs!$C$21+Inputs!$C$22*(Inputs!$C$23*(G10-Inputs!$C$24)+SQRT((G10-Inputs!$C$24)^2+Inputs!$C$25^2))</f>
        <v>0.00395059609376431</v>
      </c>
      <c r="I10" s="30" t="n">
        <f aca="false">SQRT(H10/Inputs!$C$13)</f>
        <v>0.156333388553685</v>
      </c>
      <c r="J10" s="14" t="n">
        <f aca="false">(LN(Inputs!$C$17/D10)+H10/2)/SQRT(H10)</f>
        <v>-0.493066552833402</v>
      </c>
      <c r="K10" s="14" t="n">
        <f aca="false">J10-SQRT(H10)</f>
        <v>-0.555920320371747</v>
      </c>
      <c r="L10" s="17" t="n">
        <f aca="false">Inputs!$C$18*IF(E10="C",Inputs!$C$17*NORMSDIST(J10)-D10*NORMSDIST(K10),D10*NORMSDIST(-K10)-Inputs!$C$17*NORMSDIST(-J10))</f>
        <v>6.81209198456449</v>
      </c>
      <c r="M10" s="31" t="n">
        <f aca="false">EXP(-Inputs!$C$16*Inputs!$C$13)*IF(E10="C",NORMSDIST(J10),NORMSDIST(J10)-1)</f>
        <v>0.310355060298979</v>
      </c>
      <c r="N10" s="31" t="n">
        <f aca="false">Inputs!$C$14*EXP(-Inputs!$C$16*Inputs!$C$13)*EXP(-(J10^2)/2)/SQRT(2*PI())*SQRT(Inputs!$C$13)/100</f>
        <v>0.795717629332442</v>
      </c>
      <c r="O10" s="32" t="n">
        <f aca="false">(Inputs!G38+Inputs!H38)/2</f>
        <v>6.985</v>
      </c>
      <c r="P10" s="17" t="n">
        <f aca="false">L10-O10</f>
        <v>-0.17290801543551</v>
      </c>
      <c r="Q10" s="32" t="n">
        <f aca="false">IF(F10&gt;0,Inputs!H38,Inputs!G38)</f>
        <v>6.96</v>
      </c>
    </row>
    <row r="11" customFormat="false" ht="15" hidden="false" customHeight="false" outlineLevel="0" collapsed="false">
      <c r="B11" s="26" t="str">
        <f aca="false">Inputs!B39</f>
        <v>Put-spread collar 539/475/583</v>
      </c>
      <c r="C11" s="27" t="n">
        <f aca="false">Inputs!C39</f>
        <v>4</v>
      </c>
      <c r="D11" s="27" t="n">
        <f aca="false">Inputs!D39</f>
        <v>539</v>
      </c>
      <c r="E11" s="28" t="str">
        <f aca="false">Inputs!E39</f>
        <v>P</v>
      </c>
      <c r="F11" s="29" t="n">
        <f aca="false">Inputs!F39</f>
        <v>1</v>
      </c>
      <c r="G11" s="14" t="n">
        <f aca="false">LN(D11/Inputs!$C$17)</f>
        <v>-0.0455052269018892</v>
      </c>
      <c r="H11" s="18" t="n">
        <f aca="false">Inputs!$C$21+Inputs!$C$22*(Inputs!$C$23*(G11-Inputs!$C$24)+SQRT((G11-Inputs!$C$24)^2+Inputs!$C$25^2))</f>
        <v>0.00666808895082445</v>
      </c>
      <c r="I11" s="30" t="n">
        <f aca="false">SQRT(H11/Inputs!$C$13)</f>
        <v>0.203105235603804</v>
      </c>
      <c r="J11" s="14" t="n">
        <f aca="false">(LN(Inputs!$C$17/D11)+H11/2)/SQRT(H11)</f>
        <v>0.598092675490643</v>
      </c>
      <c r="K11" s="14" t="n">
        <f aca="false">J11-SQRT(H11)</f>
        <v>0.516434308186218</v>
      </c>
      <c r="L11" s="17" t="n">
        <f aca="false">Inputs!$C$18*IF(E11="C",Inputs!$C$17*NORMSDIST(J11)-D11*NORMSDIST(K11),D11*NORMSDIST(-K11)-Inputs!$C$17*NORMSDIST(-J11))</f>
        <v>8.07696986290198</v>
      </c>
      <c r="M11" s="31" t="n">
        <f aca="false">EXP(-Inputs!$C$16*Inputs!$C$13)*IF(E11="C",NORMSDIST(J11),NORMSDIST(J11)-1)</f>
        <v>-0.274334182878225</v>
      </c>
      <c r="N11" s="31" t="n">
        <f aca="false">Inputs!$C$14*EXP(-Inputs!$C$16*Inputs!$C$13)*EXP(-(J11^2)/2)/SQRT(2*PI())*SQRT(Inputs!$C$13)/100</f>
        <v>0.751404614567933</v>
      </c>
      <c r="O11" s="32" t="n">
        <f aca="false">(Inputs!G39+Inputs!H39)/2</f>
        <v>8.33</v>
      </c>
      <c r="P11" s="17" t="n">
        <f aca="false">L11-O11</f>
        <v>-0.253030137098021</v>
      </c>
      <c r="Q11" s="32" t="n">
        <f aca="false">IF(F11&gt;0,Inputs!H39,Inputs!G39)</f>
        <v>8.36</v>
      </c>
    </row>
    <row r="12" customFormat="false" ht="15" hidden="false" customHeight="false" outlineLevel="0" collapsed="false">
      <c r="B12" s="26" t="str">
        <f aca="false">Inputs!B40</f>
        <v>Put-spread collar 539/475/583</v>
      </c>
      <c r="C12" s="27" t="n">
        <f aca="false">Inputs!C40</f>
        <v>4</v>
      </c>
      <c r="D12" s="27" t="n">
        <f aca="false">Inputs!D40</f>
        <v>475</v>
      </c>
      <c r="E12" s="28" t="str">
        <f aca="false">Inputs!E40</f>
        <v>P</v>
      </c>
      <c r="F12" s="29" t="n">
        <f aca="false">Inputs!F40</f>
        <v>-1</v>
      </c>
      <c r="G12" s="14" t="n">
        <f aca="false">LN(D12/Inputs!$C$17)</f>
        <v>-0.171905993776245</v>
      </c>
      <c r="H12" s="18" t="n">
        <f aca="false">Inputs!$C$21+Inputs!$C$22*(Inputs!$C$23*(G12-Inputs!$C$24)+SQRT((G12-Inputs!$C$24)^2+Inputs!$C$25^2))</f>
        <v>0.0136362841690994</v>
      </c>
      <c r="I12" s="30" t="n">
        <f aca="false">SQRT(H12/Inputs!$C$13)</f>
        <v>0.290448038519839</v>
      </c>
      <c r="J12" s="14" t="n">
        <f aca="false">(LN(Inputs!$C$17/D12)+H12/2)/SQRT(H12)</f>
        <v>1.53050652129783</v>
      </c>
      <c r="K12" s="14" t="n">
        <f aca="false">J12-SQRT(H12)</f>
        <v>1.41373201993259</v>
      </c>
      <c r="L12" s="17" t="n">
        <f aca="false">Inputs!$C$18*IF(E12="C",Inputs!$C$17*NORMSDIST(J12)-D12*NORMSDIST(K12),D12*NORMSDIST(-K12)-Inputs!$C$17*NORMSDIST(-J12))</f>
        <v>1.87192048753099</v>
      </c>
      <c r="M12" s="31" t="n">
        <f aca="false">EXP(-Inputs!$C$16*Inputs!$C$13)*IF(E12="C",NORMSDIST(J12),NORMSDIST(J12)-1)</f>
        <v>-0.0628186438623753</v>
      </c>
      <c r="N12" s="31" t="n">
        <f aca="false">Inputs!$C$14*EXP(-Inputs!$C$16*Inputs!$C$13)*EXP(-(J12^2)/2)/SQRT(2*PI())*SQRT(Inputs!$C$13)/100</f>
        <v>0.278544155056668</v>
      </c>
      <c r="O12" s="32" t="n">
        <f aca="false">(Inputs!G40+Inputs!H40)/2</f>
        <v>1.78</v>
      </c>
      <c r="P12" s="17" t="n">
        <f aca="false">L12-O12</f>
        <v>0.091920487530992</v>
      </c>
      <c r="Q12" s="32" t="n">
        <f aca="false">IF(F12&gt;0,Inputs!H40,Inputs!G40)</f>
        <v>1.77</v>
      </c>
    </row>
    <row r="13" customFormat="false" ht="15" hidden="false" customHeight="false" outlineLevel="0" collapsed="false">
      <c r="B13" s="26" t="str">
        <f aca="false">Inputs!B41</f>
        <v>Put-spread collar 539/475/583</v>
      </c>
      <c r="C13" s="27" t="n">
        <f aca="false">Inputs!C41</f>
        <v>4</v>
      </c>
      <c r="D13" s="27" t="n">
        <f aca="false">Inputs!D41</f>
        <v>583</v>
      </c>
      <c r="E13" s="28" t="str">
        <f aca="false">Inputs!E41</f>
        <v>C</v>
      </c>
      <c r="F13" s="29" t="n">
        <f aca="false">Inputs!F41</f>
        <v>-1</v>
      </c>
      <c r="G13" s="14" t="n">
        <f aca="false">LN(D13/Inputs!$C$17)</f>
        <v>0.0329663885396059</v>
      </c>
      <c r="H13" s="18" t="n">
        <f aca="false">Inputs!$C$21+Inputs!$C$22*(Inputs!$C$23*(G13-Inputs!$C$24)+SQRT((G13-Inputs!$C$24)^2+Inputs!$C$25^2))</f>
        <v>0.00395059609376431</v>
      </c>
      <c r="I13" s="30" t="n">
        <f aca="false">SQRT(H13/Inputs!$C$13)</f>
        <v>0.156333388553685</v>
      </c>
      <c r="J13" s="14" t="n">
        <f aca="false">(LN(Inputs!$C$17/D13)+H13/2)/SQRT(H13)</f>
        <v>-0.493066552833402</v>
      </c>
      <c r="K13" s="14" t="n">
        <f aca="false">J13-SQRT(H13)</f>
        <v>-0.555920320371747</v>
      </c>
      <c r="L13" s="17" t="n">
        <f aca="false">Inputs!$C$18*IF(E13="C",Inputs!$C$17*NORMSDIST(J13)-D13*NORMSDIST(K13),D13*NORMSDIST(-K13)-Inputs!$C$17*NORMSDIST(-J13))</f>
        <v>6.81209198456449</v>
      </c>
      <c r="M13" s="31" t="n">
        <f aca="false">EXP(-Inputs!$C$16*Inputs!$C$13)*IF(E13="C",NORMSDIST(J13),NORMSDIST(J13)-1)</f>
        <v>0.310355060298979</v>
      </c>
      <c r="N13" s="31" t="n">
        <f aca="false">Inputs!$C$14*EXP(-Inputs!$C$16*Inputs!$C$13)*EXP(-(J13^2)/2)/SQRT(2*PI())*SQRT(Inputs!$C$13)/100</f>
        <v>0.795717629332442</v>
      </c>
      <c r="O13" s="32" t="n">
        <f aca="false">(Inputs!G41+Inputs!H41)/2</f>
        <v>6.985</v>
      </c>
      <c r="P13" s="17" t="n">
        <f aca="false">L13-O13</f>
        <v>-0.17290801543551</v>
      </c>
      <c r="Q13" s="32" t="n">
        <f aca="false">IF(F13&gt;0,Inputs!H41,Inputs!G41)</f>
        <v>6.96</v>
      </c>
    </row>
    <row r="15" customFormat="false" ht="15" hidden="false" customHeight="false" outlineLevel="0" collapsed="false">
      <c r="B15" s="2" t="s">
        <v>89</v>
      </c>
    </row>
    <row r="17" customFormat="false" ht="23.85" hidden="false" customHeight="false" outlineLevel="0" collapsed="false">
      <c r="B17" s="8" t="s">
        <v>90</v>
      </c>
      <c r="C17" s="9" t="s">
        <v>62</v>
      </c>
      <c r="D17" s="9" t="s">
        <v>91</v>
      </c>
      <c r="E17" s="9" t="s">
        <v>92</v>
      </c>
      <c r="F17" s="9" t="s">
        <v>93</v>
      </c>
      <c r="G17" s="9" t="s">
        <v>94</v>
      </c>
      <c r="H17" s="9" t="s">
        <v>95</v>
      </c>
      <c r="I17" s="9" t="s">
        <v>96</v>
      </c>
      <c r="J17" s="9" t="s">
        <v>97</v>
      </c>
    </row>
    <row r="18" customFormat="false" ht="15" hidden="false" customHeight="false" outlineLevel="0" collapsed="false">
      <c r="B18" s="11" t="s">
        <v>69</v>
      </c>
      <c r="C18" s="13" t="n">
        <v>1</v>
      </c>
      <c r="D18" s="17" t="n">
        <f aca="false">SUMPRODUCT(($C$6:$C$13=C18)*$F$6:$F$13*$Q$6:$Q$13)</f>
        <v>8.36</v>
      </c>
      <c r="E18" s="17" t="n">
        <f aca="false">SUMPRODUCT(($C$6:$C$13=C18)*$F$6:$F$13*$L$6:$L$13)</f>
        <v>8.07696986290198</v>
      </c>
      <c r="F18" s="17" t="n">
        <f aca="false">D18*Inputs!$C$31*Inputs!$C$30/1000000</f>
        <v>7.44625248638921</v>
      </c>
      <c r="G18" s="30" t="n">
        <f aca="false">F18*1000000/Inputs!$C$28</f>
        <v>0.0148925049727784</v>
      </c>
      <c r="H18" s="31" t="n">
        <f aca="false">SUMPRODUCT(($C$6:$C$13=C18)*$F$6:$F$13*$M$6:$M$13)</f>
        <v>-0.274334182878225</v>
      </c>
      <c r="I18" s="33" t="n">
        <f aca="false">SUMPRODUCT(($C$6:$C$13=C18)*$F$6:$F$13*$N$6:$N$13)*Inputs!$C$31*Inputs!$C$30/1000</f>
        <v>669.276133912775</v>
      </c>
      <c r="J18" s="34" t="str">
        <f aca="false">IF(C18=Inputs!$C$5,"◄","")</f>
        <v/>
      </c>
    </row>
    <row r="19" customFormat="false" ht="15" hidden="false" customHeight="false" outlineLevel="0" collapsed="false">
      <c r="B19" s="11" t="s">
        <v>72</v>
      </c>
      <c r="C19" s="13" t="n">
        <v>2</v>
      </c>
      <c r="D19" s="17" t="n">
        <f aca="false">SUMPRODUCT(($C$6:$C$13=C19)*$F$6:$F$13*$Q$6:$Q$13)</f>
        <v>6.59</v>
      </c>
      <c r="E19" s="17" t="n">
        <f aca="false">SUMPRODUCT(($C$6:$C$13=C19)*$F$6:$F$13*$L$6:$L$13)</f>
        <v>6.20504937537099</v>
      </c>
      <c r="F19" s="17" t="n">
        <f aca="false">D19*Inputs!$C$31*Inputs!$C$30/1000000</f>
        <v>5.86971338340968</v>
      </c>
      <c r="G19" s="30" t="n">
        <f aca="false">F19*1000000/Inputs!$C$28</f>
        <v>0.0117394267668194</v>
      </c>
      <c r="H19" s="31" t="n">
        <f aca="false">SUMPRODUCT(($C$6:$C$13=C19)*$F$6:$F$13*$M$6:$M$13)</f>
        <v>-0.211515539015849</v>
      </c>
      <c r="I19" s="33" t="n">
        <f aca="false">SUMPRODUCT(($C$6:$C$13=C19)*$F$6:$F$13*$N$6:$N$13)*Inputs!$C$31*Inputs!$C$30/1000</f>
        <v>421.176838797955</v>
      </c>
      <c r="J19" s="34" t="str">
        <f aca="false">IF(C19=Inputs!$C$5,"◄","")</f>
        <v/>
      </c>
    </row>
    <row r="20" customFormat="false" ht="15" hidden="false" customHeight="false" outlineLevel="0" collapsed="false">
      <c r="B20" s="11" t="s">
        <v>73</v>
      </c>
      <c r="C20" s="13" t="n">
        <v>3</v>
      </c>
      <c r="D20" s="17" t="n">
        <f aca="false">SUMPRODUCT(($C$6:$C$13=C20)*$F$6:$F$13*$Q$6:$Q$13)</f>
        <v>1.4</v>
      </c>
      <c r="E20" s="17" t="n">
        <f aca="false">SUMPRODUCT(($C$6:$C$13=C20)*$F$6:$F$13*$L$6:$L$13)</f>
        <v>1.26487787833749</v>
      </c>
      <c r="F20" s="17" t="n">
        <f aca="false">D20*Inputs!$C$31*Inputs!$C$30/1000000</f>
        <v>1.24698008145274</v>
      </c>
      <c r="G20" s="30" t="n">
        <f aca="false">F20*1000000/Inputs!$C$28</f>
        <v>0.00249396016290548</v>
      </c>
      <c r="H20" s="31" t="n">
        <f aca="false">SUMPRODUCT(($C$6:$C$13=C20)*$F$6:$F$13*$M$6:$M$13)</f>
        <v>-0.584689243177203</v>
      </c>
      <c r="I20" s="33" t="n">
        <f aca="false">SUMPRODUCT(($C$6:$C$13=C20)*$F$6:$F$13*$N$6:$N$13)*Inputs!$C$31*Inputs!$C$30/1000</f>
        <v>-39.4696048289031</v>
      </c>
      <c r="J20" s="34" t="str">
        <f aca="false">IF(C20=Inputs!$C$5,"◄","")</f>
        <v>◄</v>
      </c>
    </row>
    <row r="21" customFormat="false" ht="15" hidden="false" customHeight="false" outlineLevel="0" collapsed="false">
      <c r="B21" s="11" t="s">
        <v>75</v>
      </c>
      <c r="C21" s="13" t="n">
        <v>4</v>
      </c>
      <c r="D21" s="17" t="n">
        <f aca="false">SUMPRODUCT(($C$6:$C$13=C21)*$F$6:$F$13*$Q$6:$Q$13)</f>
        <v>-0.370000000000001</v>
      </c>
      <c r="E21" s="17" t="n">
        <f aca="false">SUMPRODUCT(($C$6:$C$13=C21)*$F$6:$F$13*$L$6:$L$13)</f>
        <v>-0.607042609193502</v>
      </c>
      <c r="F21" s="17" t="n">
        <f aca="false">D21*Inputs!$C$31*Inputs!$C$30/1000000</f>
        <v>-0.329559021526796</v>
      </c>
      <c r="G21" s="30" t="n">
        <f aca="false">F21*1000000/Inputs!$C$28</f>
        <v>-0.000659118043053592</v>
      </c>
      <c r="H21" s="31" t="n">
        <f aca="false">SUMPRODUCT(($C$6:$C$13=C21)*$F$6:$F$13*$M$6:$M$13)</f>
        <v>-0.521870599314828</v>
      </c>
      <c r="I21" s="33" t="n">
        <f aca="false">SUMPRODUCT(($C$6:$C$13=C21)*$F$6:$F$13*$N$6:$N$13)*Inputs!$C$31*Inputs!$C$30/1000</f>
        <v>-287.568899943723</v>
      </c>
      <c r="J21" s="34" t="str">
        <f aca="false">IF(C21=Inputs!$C$5,"◄","")</f>
        <v/>
      </c>
    </row>
    <row r="23" customFormat="false" ht="15" hidden="false" customHeight="false" outlineLevel="0" collapsed="false">
      <c r="B23" s="35" t="s">
        <v>98</v>
      </c>
      <c r="C23" s="36" t="n">
        <f aca="false">Inputs!$C$5</f>
        <v>3</v>
      </c>
      <c r="D23" s="37" t="n">
        <f aca="false">INDEX(D18:D21,C23)</f>
        <v>1.4</v>
      </c>
      <c r="E23" s="37" t="n">
        <f aca="false">INDEX(E18:E21,C23)</f>
        <v>1.26487787833749</v>
      </c>
      <c r="F23" s="37" t="n">
        <f aca="false">INDEX(F18:F21,C23)</f>
        <v>1.24698008145274</v>
      </c>
      <c r="G23" s="38" t="n">
        <f aca="false">INDEX(G18:G21,C23)</f>
        <v>0.00249396016290548</v>
      </c>
      <c r="H23" s="39"/>
      <c r="I23" s="39"/>
      <c r="J23" s="39"/>
    </row>
    <row r="25" customFormat="false" ht="15" hidden="false" customHeight="false" outlineLevel="0" collapsed="false">
      <c r="B25" s="2" t="s">
        <v>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7"/>
    <col collapsed="false" customWidth="true" hidden="false" outlineLevel="0" max="2" min="2" style="0" width="26"/>
    <col collapsed="false" customWidth="true" hidden="false" outlineLevel="0" max="14" min="3" style="0" width="13"/>
  </cols>
  <sheetData>
    <row r="2" customFormat="false" ht="17.35" hidden="false" customHeight="false" outlineLevel="0" collapsed="false">
      <c r="B2" s="1" t="s">
        <v>8</v>
      </c>
    </row>
    <row r="3" customFormat="false" ht="15" hidden="false" customHeight="false" outlineLevel="0" collapsed="false">
      <c r="B3" s="2" t="s">
        <v>100</v>
      </c>
    </row>
    <row r="5" customFormat="false" ht="15" hidden="false" customHeight="false" outlineLevel="0" collapsed="false">
      <c r="B5" s="40" t="str">
        <f aca="false">Inputs!D5</f>
        <v>Collar 539/583</v>
      </c>
    </row>
    <row r="7" customFormat="false" ht="23.85" hidden="false" customHeight="false" outlineLevel="0" collapsed="false">
      <c r="B7" s="8" t="s">
        <v>101</v>
      </c>
      <c r="C7" s="9" t="s">
        <v>63</v>
      </c>
      <c r="D7" s="9" t="s">
        <v>64</v>
      </c>
      <c r="E7" s="9" t="s">
        <v>65</v>
      </c>
    </row>
    <row r="8" customFormat="false" ht="15" hidden="false" customHeight="false" outlineLevel="0" collapsed="false">
      <c r="B8" s="11" t="s">
        <v>102</v>
      </c>
      <c r="F8" s="13" t="n">
        <f aca="false">MATCH(Inputs!$C$5,Inputs!$C$34:$C$41,0)</f>
        <v>4</v>
      </c>
    </row>
    <row r="9" customFormat="false" ht="15" hidden="false" customHeight="false" outlineLevel="0" collapsed="false">
      <c r="B9" s="11" t="s">
        <v>103</v>
      </c>
      <c r="C9" s="27" t="n">
        <f aca="false">IF(IFERROR(INDEX(Inputs!$C$34:$C$41,$F$8+0)=Inputs!$C$5,FALSE()),INDEX(Inputs!$D$34:$D$41,$F$8+0),Inputs!$C$14)</f>
        <v>539</v>
      </c>
      <c r="D9" s="28" t="str">
        <f aca="false">IF(IFERROR(INDEX(Inputs!$C$34:$C$41,$F$8+0)=Inputs!$C$5,FALSE()),INDEX(Inputs!$E$34:$E$41,$F$8+0),"P")</f>
        <v>P</v>
      </c>
      <c r="E9" s="41" t="n">
        <f aca="false">IF(IFERROR(INDEX(Inputs!$C$34:$C$41,$F$8+0)=Inputs!$C$5,FALSE()),INDEX(Inputs!$F$34:$F$41,$F$8+0),0)</f>
        <v>1</v>
      </c>
    </row>
    <row r="10" customFormat="false" ht="15" hidden="false" customHeight="false" outlineLevel="0" collapsed="false">
      <c r="B10" s="11" t="s">
        <v>104</v>
      </c>
      <c r="C10" s="27" t="n">
        <f aca="false">IF(IFERROR(INDEX(Inputs!$C$34:$C$41,$F$8+1)=Inputs!$C$5,FALSE()),INDEX(Inputs!$D$34:$D$41,$F$8+1),Inputs!$C$14)</f>
        <v>583</v>
      </c>
      <c r="D10" s="28" t="str">
        <f aca="false">IF(IFERROR(INDEX(Inputs!$C$34:$C$41,$F$8+1)=Inputs!$C$5,FALSE()),INDEX(Inputs!$E$34:$E$41,$F$8+1),"P")</f>
        <v>C</v>
      </c>
      <c r="E10" s="41" t="n">
        <f aca="false">IF(IFERROR(INDEX(Inputs!$C$34:$C$41,$F$8+1)=Inputs!$C$5,FALSE()),INDEX(Inputs!$F$34:$F$41,$F$8+1),0)</f>
        <v>-1</v>
      </c>
    </row>
    <row r="11" customFormat="false" ht="15" hidden="false" customHeight="false" outlineLevel="0" collapsed="false">
      <c r="B11" s="11" t="s">
        <v>105</v>
      </c>
      <c r="C11" s="27" t="n">
        <f aca="false">IF(IFERROR(INDEX(Inputs!$C$34:$C$41,$F$8+2)=Inputs!$C$5,FALSE()),INDEX(Inputs!$D$34:$D$41,$F$8+2),Inputs!$C$14)</f>
        <v>561.3562</v>
      </c>
      <c r="D11" s="28" t="str">
        <f aca="false">IF(IFERROR(INDEX(Inputs!$C$34:$C$41,$F$8+2)=Inputs!$C$5,FALSE()),INDEX(Inputs!$E$34:$E$41,$F$8+2),"P")</f>
        <v>P</v>
      </c>
      <c r="E11" s="41" t="n">
        <f aca="false">IF(IFERROR(INDEX(Inputs!$C$34:$C$41,$F$8+2)=Inputs!$C$5,FALSE()),INDEX(Inputs!$F$34:$F$41,$F$8+2),0)</f>
        <v>0</v>
      </c>
    </row>
    <row r="12" customFormat="false" ht="15" hidden="false" customHeight="false" outlineLevel="0" collapsed="false">
      <c r="B12" s="2" t="s">
        <v>106</v>
      </c>
    </row>
    <row r="14" customFormat="false" ht="23.85" hidden="false" customHeight="false" outlineLevel="0" collapsed="false">
      <c r="B14" s="8" t="s">
        <v>107</v>
      </c>
      <c r="C14" s="9" t="s">
        <v>108</v>
      </c>
      <c r="D14" s="9" t="s">
        <v>109</v>
      </c>
      <c r="E14" s="9" t="s">
        <v>110</v>
      </c>
      <c r="F14" s="9" t="s">
        <v>111</v>
      </c>
      <c r="G14" s="9" t="s">
        <v>112</v>
      </c>
      <c r="H14" s="9" t="s">
        <v>113</v>
      </c>
    </row>
    <row r="15" customFormat="false" ht="15" hidden="false" customHeight="false" outlineLevel="0" collapsed="false">
      <c r="B15" s="42" t="n">
        <v>440</v>
      </c>
      <c r="C15" s="43" t="n">
        <f aca="false">B15/Inputs!$C$14-1</f>
        <v>-0.216183948801135</v>
      </c>
      <c r="D15" s="33" t="n">
        <f aca="false">Inputs!$C$28*(1+Inputs!$C$29*C15)/1000000</f>
        <v>391.908025599432</v>
      </c>
      <c r="E15" s="33" t="n">
        <f aca="false">($E$9*IF($D$9="C",MAX(B15-$C$9,0),MAX($C$9-B15,0))+$E$10*IF($D$10="C",MAX(B15-$C$10,0),MAX($C$10-B15,0))+$E$11*IF($D$11="C",MAX(B15-$C$11,0),MAX($C$11-B15,0)))*Inputs!$C$31*Inputs!$C$30/1000000</f>
        <v>88.1793057598723</v>
      </c>
      <c r="F15" s="44" t="n">
        <f aca="false">Pricer!$D$23*Inputs!$C$31*Inputs!$C$30/1000000</f>
        <v>1.24698008145274</v>
      </c>
      <c r="G15" s="33" t="n">
        <f aca="false">D15+E15-F15</f>
        <v>478.840351277852</v>
      </c>
      <c r="H15" s="33" t="n">
        <f aca="false">G15-D15</f>
        <v>86.9323256784195</v>
      </c>
    </row>
    <row r="16" customFormat="false" ht="15" hidden="false" customHeight="false" outlineLevel="0" collapsed="false">
      <c r="B16" s="42" t="n">
        <v>450</v>
      </c>
      <c r="C16" s="43" t="n">
        <f aca="false">B16/Inputs!$C$14-1</f>
        <v>-0.198369947637525</v>
      </c>
      <c r="D16" s="33" t="n">
        <f aca="false">Inputs!$C$28*(1+Inputs!$C$29*C16)/1000000</f>
        <v>400.815026181238</v>
      </c>
      <c r="E16" s="33" t="n">
        <f aca="false">($E$9*IF($D$9="C",MAX(B16-$C$9,0),MAX($C$9-B16,0))+$E$10*IF($D$10="C",MAX(B16-$C$10,0),MAX($C$10-B16,0))+$E$11*IF($D$11="C",MAX(B16-$C$11,0),MAX($C$11-B16,0)))*Inputs!$C$31*Inputs!$C$30/1000000</f>
        <v>79.272305178067</v>
      </c>
      <c r="F16" s="44" t="n">
        <f aca="false">Pricer!$D$23*Inputs!$C$31*Inputs!$C$30/1000000</f>
        <v>1.24698008145274</v>
      </c>
      <c r="G16" s="33" t="n">
        <f aca="false">D16+E16-F16</f>
        <v>478.840351277852</v>
      </c>
      <c r="H16" s="33" t="n">
        <f aca="false">G16-D16</f>
        <v>78.0253250966142</v>
      </c>
    </row>
    <row r="17" customFormat="false" ht="15" hidden="false" customHeight="false" outlineLevel="0" collapsed="false">
      <c r="B17" s="42" t="n">
        <v>460</v>
      </c>
      <c r="C17" s="43" t="n">
        <f aca="false">B17/Inputs!$C$14-1</f>
        <v>-0.180555946473914</v>
      </c>
      <c r="D17" s="33" t="n">
        <f aca="false">Inputs!$C$28*(1+Inputs!$C$29*C17)/1000000</f>
        <v>409.722026763043</v>
      </c>
      <c r="E17" s="33" t="n">
        <f aca="false">($E$9*IF($D$9="C",MAX(B17-$C$9,0),MAX($C$9-B17,0))+$E$10*IF($D$10="C",MAX(B17-$C$10,0),MAX($C$10-B17,0))+$E$11*IF($D$11="C",MAX(B17-$C$11,0),MAX($C$11-B17,0)))*Inputs!$C$31*Inputs!$C$30/1000000</f>
        <v>70.3653045962617</v>
      </c>
      <c r="F17" s="44" t="n">
        <f aca="false">Pricer!$D$23*Inputs!$C$31*Inputs!$C$30/1000000</f>
        <v>1.24698008145274</v>
      </c>
      <c r="G17" s="33" t="n">
        <f aca="false">D17+E17-F17</f>
        <v>478.840351277852</v>
      </c>
      <c r="H17" s="33" t="n">
        <f aca="false">G17-D17</f>
        <v>69.1183245148089</v>
      </c>
    </row>
    <row r="18" customFormat="false" ht="15" hidden="false" customHeight="false" outlineLevel="0" collapsed="false">
      <c r="B18" s="42" t="n">
        <v>470</v>
      </c>
      <c r="C18" s="43" t="n">
        <f aca="false">B18/Inputs!$C$14-1</f>
        <v>-0.162741945310304</v>
      </c>
      <c r="D18" s="33" t="n">
        <f aca="false">Inputs!$C$28*(1+Inputs!$C$29*C18)/1000000</f>
        <v>418.629027344848</v>
      </c>
      <c r="E18" s="33" t="n">
        <f aca="false">($E$9*IF($D$9="C",MAX(B18-$C$9,0),MAX($C$9-B18,0))+$E$10*IF($D$10="C",MAX(B18-$C$10,0),MAX($C$10-B18,0))+$E$11*IF($D$11="C",MAX(B18-$C$11,0),MAX($C$11-B18,0)))*Inputs!$C$31*Inputs!$C$30/1000000</f>
        <v>61.4583040144564</v>
      </c>
      <c r="F18" s="44" t="n">
        <f aca="false">Pricer!$D$23*Inputs!$C$31*Inputs!$C$30/1000000</f>
        <v>1.24698008145274</v>
      </c>
      <c r="G18" s="33" t="n">
        <f aca="false">D18+E18-F18</f>
        <v>478.840351277852</v>
      </c>
      <c r="H18" s="33" t="n">
        <f aca="false">G18-D18</f>
        <v>60.2113239330037</v>
      </c>
    </row>
    <row r="19" customFormat="false" ht="15" hidden="false" customHeight="false" outlineLevel="0" collapsed="false">
      <c r="B19" s="42" t="n">
        <v>480</v>
      </c>
      <c r="C19" s="43" t="n">
        <f aca="false">B19/Inputs!$C$14-1</f>
        <v>-0.144927944146693</v>
      </c>
      <c r="D19" s="33" t="n">
        <f aca="false">Inputs!$C$28*(1+Inputs!$C$29*C19)/1000000</f>
        <v>427.536027926653</v>
      </c>
      <c r="E19" s="33" t="n">
        <f aca="false">($E$9*IF($D$9="C",MAX(B19-$C$9,0),MAX($C$9-B19,0))+$E$10*IF($D$10="C",MAX(B19-$C$10,0),MAX($C$10-B19,0))+$E$11*IF($D$11="C",MAX(B19-$C$11,0),MAX($C$11-B19,0)))*Inputs!$C$31*Inputs!$C$30/1000000</f>
        <v>52.5513034326512</v>
      </c>
      <c r="F19" s="44" t="n">
        <f aca="false">Pricer!$D$23*Inputs!$C$31*Inputs!$C$30/1000000</f>
        <v>1.24698008145274</v>
      </c>
      <c r="G19" s="33" t="n">
        <f aca="false">D19+E19-F19</f>
        <v>478.840351277852</v>
      </c>
      <c r="H19" s="33" t="n">
        <f aca="false">G19-D19</f>
        <v>51.3043233511984</v>
      </c>
    </row>
    <row r="20" customFormat="false" ht="15" hidden="false" customHeight="false" outlineLevel="0" collapsed="false">
      <c r="B20" s="42" t="n">
        <v>490</v>
      </c>
      <c r="C20" s="43" t="n">
        <f aca="false">B20/Inputs!$C$14-1</f>
        <v>-0.127113942983083</v>
      </c>
      <c r="D20" s="33" t="n">
        <f aca="false">Inputs!$C$28*(1+Inputs!$C$29*C20)/1000000</f>
        <v>436.443028508459</v>
      </c>
      <c r="E20" s="33" t="n">
        <f aca="false">($E$9*IF($D$9="C",MAX(B20-$C$9,0),MAX($C$9-B20,0))+$E$10*IF($D$10="C",MAX(B20-$C$10,0),MAX($C$10-B20,0))+$E$11*IF($D$11="C",MAX(B20-$C$11,0),MAX($C$11-B20,0)))*Inputs!$C$31*Inputs!$C$30/1000000</f>
        <v>43.6443028508459</v>
      </c>
      <c r="F20" s="44" t="n">
        <f aca="false">Pricer!$D$23*Inputs!$C$31*Inputs!$C$30/1000000</f>
        <v>1.24698008145274</v>
      </c>
      <c r="G20" s="33" t="n">
        <f aca="false">D20+E20-F20</f>
        <v>478.840351277852</v>
      </c>
      <c r="H20" s="33" t="n">
        <f aca="false">G20-D20</f>
        <v>42.3973227693931</v>
      </c>
    </row>
    <row r="21" customFormat="false" ht="15" hidden="false" customHeight="false" outlineLevel="0" collapsed="false">
      <c r="B21" s="42" t="n">
        <v>500</v>
      </c>
      <c r="C21" s="43" t="n">
        <f aca="false">B21/Inputs!$C$14-1</f>
        <v>-0.109299941819472</v>
      </c>
      <c r="D21" s="33" t="n">
        <f aca="false">Inputs!$C$28*(1+Inputs!$C$29*C21)/1000000</f>
        <v>445.350029090264</v>
      </c>
      <c r="E21" s="33" t="n">
        <f aca="false">($E$9*IF($D$9="C",MAX(B21-$C$9,0),MAX($C$9-B21,0))+$E$10*IF($D$10="C",MAX(B21-$C$10,0),MAX($C$10-B21,0))+$E$11*IF($D$11="C",MAX(B21-$C$11,0),MAX($C$11-B21,0)))*Inputs!$C$31*Inputs!$C$30/1000000</f>
        <v>34.7373022690406</v>
      </c>
      <c r="F21" s="44" t="n">
        <f aca="false">Pricer!$D$23*Inputs!$C$31*Inputs!$C$30/1000000</f>
        <v>1.24698008145274</v>
      </c>
      <c r="G21" s="33" t="n">
        <f aca="false">D21+E21-F21</f>
        <v>478.840351277852</v>
      </c>
      <c r="H21" s="33" t="n">
        <f aca="false">G21-D21</f>
        <v>33.4903221875878</v>
      </c>
    </row>
    <row r="22" customFormat="false" ht="15" hidden="false" customHeight="false" outlineLevel="0" collapsed="false">
      <c r="B22" s="42" t="n">
        <v>510</v>
      </c>
      <c r="C22" s="43" t="n">
        <f aca="false">B22/Inputs!$C$14-1</f>
        <v>-0.0914859406558616</v>
      </c>
      <c r="D22" s="33" t="n">
        <f aca="false">Inputs!$C$28*(1+Inputs!$C$29*C22)/1000000</f>
        <v>454.257029672069</v>
      </c>
      <c r="E22" s="33" t="n">
        <f aca="false">($E$9*IF($D$9="C",MAX(B22-$C$9,0),MAX($C$9-B22,0))+$E$10*IF($D$10="C",MAX(B22-$C$10,0),MAX($C$10-B22,0))+$E$11*IF($D$11="C",MAX(B22-$C$11,0),MAX($C$11-B22,0)))*Inputs!$C$31*Inputs!$C$30/1000000</f>
        <v>25.8303016872353</v>
      </c>
      <c r="F22" s="44" t="n">
        <f aca="false">Pricer!$D$23*Inputs!$C$31*Inputs!$C$30/1000000</f>
        <v>1.24698008145274</v>
      </c>
      <c r="G22" s="33" t="n">
        <f aca="false">D22+E22-F22</f>
        <v>478.840351277852</v>
      </c>
      <c r="H22" s="33" t="n">
        <f aca="false">G22-D22</f>
        <v>24.5833216057825</v>
      </c>
    </row>
    <row r="23" customFormat="false" ht="15" hidden="false" customHeight="false" outlineLevel="0" collapsed="false">
      <c r="B23" s="42" t="n">
        <v>520</v>
      </c>
      <c r="C23" s="43" t="n">
        <f aca="false">B23/Inputs!$C$14-1</f>
        <v>-0.073671939492251</v>
      </c>
      <c r="D23" s="33" t="n">
        <f aca="false">Inputs!$C$28*(1+Inputs!$C$29*C23)/1000000</f>
        <v>463.164030253875</v>
      </c>
      <c r="E23" s="33" t="n">
        <f aca="false">($E$9*IF($D$9="C",MAX(B23-$C$9,0),MAX($C$9-B23,0))+$E$10*IF($D$10="C",MAX(B23-$C$10,0),MAX($C$10-B23,0))+$E$11*IF($D$11="C",MAX(B23-$C$11,0),MAX($C$11-B23,0)))*Inputs!$C$31*Inputs!$C$30/1000000</f>
        <v>16.92330110543</v>
      </c>
      <c r="F23" s="44" t="n">
        <f aca="false">Pricer!$D$23*Inputs!$C$31*Inputs!$C$30/1000000</f>
        <v>1.24698008145274</v>
      </c>
      <c r="G23" s="33" t="n">
        <f aca="false">D23+E23-F23</f>
        <v>478.840351277852</v>
      </c>
      <c r="H23" s="33" t="n">
        <f aca="false">G23-D23</f>
        <v>15.6763210239773</v>
      </c>
    </row>
    <row r="24" customFormat="false" ht="15" hidden="false" customHeight="false" outlineLevel="0" collapsed="false">
      <c r="B24" s="42" t="n">
        <v>530</v>
      </c>
      <c r="C24" s="43" t="n">
        <f aca="false">B24/Inputs!$C$14-1</f>
        <v>-0.0558579383286404</v>
      </c>
      <c r="D24" s="33" t="n">
        <f aca="false">Inputs!$C$28*(1+Inputs!$C$29*C24)/1000000</f>
        <v>472.07103083568</v>
      </c>
      <c r="E24" s="33" t="n">
        <f aca="false">($E$9*IF($D$9="C",MAX(B24-$C$9,0),MAX($C$9-B24,0))+$E$10*IF($D$10="C",MAX(B24-$C$10,0),MAX($C$10-B24,0))+$E$11*IF($D$11="C",MAX(B24-$C$11,0),MAX($C$11-B24,0)))*Inputs!$C$31*Inputs!$C$30/1000000</f>
        <v>8.01630052362475</v>
      </c>
      <c r="F24" s="44" t="n">
        <f aca="false">Pricer!$D$23*Inputs!$C$31*Inputs!$C$30/1000000</f>
        <v>1.24698008145274</v>
      </c>
      <c r="G24" s="33" t="n">
        <f aca="false">D24+E24-F24</f>
        <v>478.840351277852</v>
      </c>
      <c r="H24" s="33" t="n">
        <f aca="false">G24-D24</f>
        <v>6.76932044217199</v>
      </c>
    </row>
    <row r="25" customFormat="false" ht="15" hidden="false" customHeight="false" outlineLevel="0" collapsed="false">
      <c r="B25" s="42" t="n">
        <v>540</v>
      </c>
      <c r="C25" s="43" t="n">
        <f aca="false">B25/Inputs!$C$14-1</f>
        <v>-0.0380439371650299</v>
      </c>
      <c r="D25" s="33" t="n">
        <f aca="false">Inputs!$C$28*(1+Inputs!$C$29*C25)/1000000</f>
        <v>480.978031417485</v>
      </c>
      <c r="E25" s="33" t="n">
        <f aca="false">($E$9*IF($D$9="C",MAX(B25-$C$9,0),MAX($C$9-B25,0))+$E$10*IF($D$10="C",MAX(B25-$C$10,0),MAX($C$10-B25,0))+$E$11*IF($D$11="C",MAX(B25-$C$11,0),MAX($C$11-B25,0)))*Inputs!$C$31*Inputs!$C$30/1000000</f>
        <v>0</v>
      </c>
      <c r="F25" s="44" t="n">
        <f aca="false">Pricer!$D$23*Inputs!$C$31*Inputs!$C$30/1000000</f>
        <v>1.24698008145274</v>
      </c>
      <c r="G25" s="33" t="n">
        <f aca="false">D25+E25-F25</f>
        <v>479.731051336032</v>
      </c>
      <c r="H25" s="33" t="n">
        <f aca="false">G25-D25</f>
        <v>-1.24698008145276</v>
      </c>
    </row>
    <row r="26" customFormat="false" ht="15" hidden="false" customHeight="false" outlineLevel="0" collapsed="false">
      <c r="B26" s="42" t="n">
        <v>550</v>
      </c>
      <c r="C26" s="43" t="n">
        <f aca="false">B26/Inputs!$C$14-1</f>
        <v>-0.0202299360014193</v>
      </c>
      <c r="D26" s="33" t="n">
        <f aca="false">Inputs!$C$28*(1+Inputs!$C$29*C26)/1000000</f>
        <v>489.88503199929</v>
      </c>
      <c r="E26" s="33" t="n">
        <f aca="false">($E$9*IF($D$9="C",MAX(B26-$C$9,0),MAX($C$9-B26,0))+$E$10*IF($D$10="C",MAX(B26-$C$10,0),MAX($C$10-B26,0))+$E$11*IF($D$11="C",MAX(B26-$C$11,0),MAX($C$11-B26,0)))*Inputs!$C$31*Inputs!$C$30/1000000</f>
        <v>0</v>
      </c>
      <c r="F26" s="44" t="n">
        <f aca="false">Pricer!$D$23*Inputs!$C$31*Inputs!$C$30/1000000</f>
        <v>1.24698008145274</v>
      </c>
      <c r="G26" s="33" t="n">
        <f aca="false">D26+E26-F26</f>
        <v>488.638051917838</v>
      </c>
      <c r="H26" s="33" t="n">
        <f aca="false">G26-D26</f>
        <v>-1.24698008145276</v>
      </c>
    </row>
    <row r="27" customFormat="false" ht="15" hidden="false" customHeight="false" outlineLevel="0" collapsed="false">
      <c r="B27" s="42" t="n">
        <v>560</v>
      </c>
      <c r="C27" s="43" t="n">
        <f aca="false">B27/Inputs!$C$14-1</f>
        <v>-0.00241593483780878</v>
      </c>
      <c r="D27" s="33" t="n">
        <f aca="false">Inputs!$C$28*(1+Inputs!$C$29*C27)/1000000</f>
        <v>498.792032581096</v>
      </c>
      <c r="E27" s="33" t="n">
        <f aca="false">($E$9*IF($D$9="C",MAX(B27-$C$9,0),MAX($C$9-B27,0))+$E$10*IF($D$10="C",MAX(B27-$C$10,0),MAX($C$10-B27,0))+$E$11*IF($D$11="C",MAX(B27-$C$11,0),MAX($C$11-B27,0)))*Inputs!$C$31*Inputs!$C$30/1000000</f>
        <v>0</v>
      </c>
      <c r="F27" s="44" t="n">
        <f aca="false">Pricer!$D$23*Inputs!$C$31*Inputs!$C$30/1000000</f>
        <v>1.24698008145274</v>
      </c>
      <c r="G27" s="33" t="n">
        <f aca="false">D27+E27-F27</f>
        <v>497.545052499643</v>
      </c>
      <c r="H27" s="33" t="n">
        <f aca="false">G27-D27</f>
        <v>-1.24698008145276</v>
      </c>
    </row>
    <row r="28" customFormat="false" ht="15" hidden="false" customHeight="false" outlineLevel="0" collapsed="false">
      <c r="B28" s="42" t="n">
        <v>570</v>
      </c>
      <c r="C28" s="43" t="n">
        <f aca="false">B28/Inputs!$C$14-1</f>
        <v>0.0153980663258018</v>
      </c>
      <c r="D28" s="33" t="n">
        <f aca="false">Inputs!$C$28*(1+Inputs!$C$29*C28)/1000000</f>
        <v>507.699033162901</v>
      </c>
      <c r="E28" s="33" t="n">
        <f aca="false">($E$9*IF($D$9="C",MAX(B28-$C$9,0),MAX($C$9-B28,0))+$E$10*IF($D$10="C",MAX(B28-$C$10,0),MAX($C$10-B28,0))+$E$11*IF($D$11="C",MAX(B28-$C$11,0),MAX($C$11-B28,0)))*Inputs!$C$31*Inputs!$C$30/1000000</f>
        <v>0</v>
      </c>
      <c r="F28" s="44" t="n">
        <f aca="false">Pricer!$D$23*Inputs!$C$31*Inputs!$C$30/1000000</f>
        <v>1.24698008145274</v>
      </c>
      <c r="G28" s="33" t="n">
        <f aca="false">D28+E28-F28</f>
        <v>506.452053081448</v>
      </c>
      <c r="H28" s="33" t="n">
        <f aca="false">G28-D28</f>
        <v>-1.24698008145276</v>
      </c>
    </row>
    <row r="29" customFormat="false" ht="15" hidden="false" customHeight="false" outlineLevel="0" collapsed="false">
      <c r="B29" s="42" t="n">
        <v>580</v>
      </c>
      <c r="C29" s="43" t="n">
        <f aca="false">B29/Inputs!$C$14-1</f>
        <v>0.0332120674894123</v>
      </c>
      <c r="D29" s="33" t="n">
        <f aca="false">Inputs!$C$28*(1+Inputs!$C$29*C29)/1000000</f>
        <v>516.606033744706</v>
      </c>
      <c r="E29" s="33" t="n">
        <f aca="false">($E$9*IF($D$9="C",MAX(B29-$C$9,0),MAX($C$9-B29,0))+$E$10*IF($D$10="C",MAX(B29-$C$10,0),MAX($C$10-B29,0))+$E$11*IF($D$11="C",MAX(B29-$C$11,0),MAX($C$11-B29,0)))*Inputs!$C$31*Inputs!$C$30/1000000</f>
        <v>0</v>
      </c>
      <c r="F29" s="44" t="n">
        <f aca="false">Pricer!$D$23*Inputs!$C$31*Inputs!$C$30/1000000</f>
        <v>1.24698008145274</v>
      </c>
      <c r="G29" s="33" t="n">
        <f aca="false">D29+E29-F29</f>
        <v>515.359053663253</v>
      </c>
      <c r="H29" s="33" t="n">
        <f aca="false">G29-D29</f>
        <v>-1.24698008145276</v>
      </c>
    </row>
    <row r="30" customFormat="false" ht="15" hidden="false" customHeight="false" outlineLevel="0" collapsed="false">
      <c r="B30" s="42" t="n">
        <v>590</v>
      </c>
      <c r="C30" s="43" t="n">
        <f aca="false">B30/Inputs!$C$14-1</f>
        <v>0.0510260686530228</v>
      </c>
      <c r="D30" s="33" t="n">
        <f aca="false">Inputs!$C$28*(1+Inputs!$C$29*C30)/1000000</f>
        <v>525.513034326511</v>
      </c>
      <c r="E30" s="33" t="n">
        <f aca="false">($E$9*IF($D$9="C",MAX(B30-$C$9,0),MAX($C$9-B30,0))+$E$10*IF($D$10="C",MAX(B30-$C$10,0),MAX($C$10-B30,0))+$E$11*IF($D$11="C",MAX(B30-$C$11,0),MAX($C$11-B30,0)))*Inputs!$C$31*Inputs!$C$30/1000000</f>
        <v>-6.2349004072637</v>
      </c>
      <c r="F30" s="44" t="n">
        <f aca="false">Pricer!$D$23*Inputs!$C$31*Inputs!$C$30/1000000</f>
        <v>1.24698008145274</v>
      </c>
      <c r="G30" s="33" t="n">
        <f aca="false">D30+E30-F30</f>
        <v>518.031153837795</v>
      </c>
      <c r="H30" s="33" t="n">
        <f aca="false">G30-D30</f>
        <v>-7.48188048871646</v>
      </c>
    </row>
    <row r="31" customFormat="false" ht="15" hidden="false" customHeight="false" outlineLevel="0" collapsed="false">
      <c r="B31" s="42" t="n">
        <v>600</v>
      </c>
      <c r="C31" s="43" t="n">
        <f aca="false">B31/Inputs!$C$14-1</f>
        <v>0.0688400698166334</v>
      </c>
      <c r="D31" s="33" t="n">
        <f aca="false">Inputs!$C$28*(1+Inputs!$C$29*C31)/1000000</f>
        <v>534.420034908317</v>
      </c>
      <c r="E31" s="33" t="n">
        <f aca="false">($E$9*IF($D$9="C",MAX(B31-$C$9,0),MAX($C$9-B31,0))+$E$10*IF($D$10="C",MAX(B31-$C$10,0),MAX($C$10-B31,0))+$E$11*IF($D$11="C",MAX(B31-$C$11,0),MAX($C$11-B31,0)))*Inputs!$C$31*Inputs!$C$30/1000000</f>
        <v>-15.141900989069</v>
      </c>
      <c r="F31" s="44" t="n">
        <f aca="false">Pricer!$D$23*Inputs!$C$31*Inputs!$C$30/1000000</f>
        <v>1.24698008145274</v>
      </c>
      <c r="G31" s="33" t="n">
        <f aca="false">D31+E31-F31</f>
        <v>518.031153837795</v>
      </c>
      <c r="H31" s="33" t="n">
        <f aca="false">G31-D31</f>
        <v>-16.3888810705217</v>
      </c>
    </row>
    <row r="32" customFormat="false" ht="15" hidden="false" customHeight="false" outlineLevel="0" collapsed="false">
      <c r="B32" s="42" t="n">
        <v>610</v>
      </c>
      <c r="C32" s="43" t="n">
        <f aca="false">B32/Inputs!$C$14-1</f>
        <v>0.0866540709802439</v>
      </c>
      <c r="D32" s="33" t="n">
        <f aca="false">Inputs!$C$28*(1+Inputs!$C$29*C32)/1000000</f>
        <v>543.327035490122</v>
      </c>
      <c r="E32" s="33" t="n">
        <f aca="false">($E$9*IF($D$9="C",MAX(B32-$C$9,0),MAX($C$9-B32,0))+$E$10*IF($D$10="C",MAX(B32-$C$10,0),MAX($C$10-B32,0))+$E$11*IF($D$11="C",MAX(B32-$C$11,0),MAX($C$11-B32,0)))*Inputs!$C$31*Inputs!$C$30/1000000</f>
        <v>-24.0489015708743</v>
      </c>
      <c r="F32" s="44" t="n">
        <f aca="false">Pricer!$D$23*Inputs!$C$31*Inputs!$C$30/1000000</f>
        <v>1.24698008145274</v>
      </c>
      <c r="G32" s="33" t="n">
        <f aca="false">D32+E32-F32</f>
        <v>518.031153837795</v>
      </c>
      <c r="H32" s="33" t="n">
        <f aca="false">G32-D32</f>
        <v>-25.295881652327</v>
      </c>
    </row>
    <row r="33" customFormat="false" ht="15" hidden="false" customHeight="false" outlineLevel="0" collapsed="false">
      <c r="B33" s="42" t="n">
        <v>620</v>
      </c>
      <c r="C33" s="43" t="n">
        <f aca="false">B33/Inputs!$C$14-1</f>
        <v>0.104468072143855</v>
      </c>
      <c r="D33" s="33" t="n">
        <f aca="false">Inputs!$C$28*(1+Inputs!$C$29*C33)/1000000</f>
        <v>552.234036071927</v>
      </c>
      <c r="E33" s="33" t="n">
        <f aca="false">($E$9*IF($D$9="C",MAX(B33-$C$9,0),MAX($C$9-B33,0))+$E$10*IF($D$10="C",MAX(B33-$C$10,0),MAX($C$10-B33,0))+$E$11*IF($D$11="C",MAX(B33-$C$11,0),MAX($C$11-B33,0)))*Inputs!$C$31*Inputs!$C$30/1000000</f>
        <v>-32.9559021526795</v>
      </c>
      <c r="F33" s="44" t="n">
        <f aca="false">Pricer!$D$23*Inputs!$C$31*Inputs!$C$30/1000000</f>
        <v>1.24698008145274</v>
      </c>
      <c r="G33" s="33" t="n">
        <f aca="false">D33+E33-F33</f>
        <v>518.031153837795</v>
      </c>
      <c r="H33" s="33" t="n">
        <f aca="false">G33-D33</f>
        <v>-34.2028822341323</v>
      </c>
    </row>
    <row r="34" customFormat="false" ht="15" hidden="false" customHeight="false" outlineLevel="0" collapsed="false">
      <c r="B34" s="42" t="n">
        <v>630</v>
      </c>
      <c r="C34" s="43" t="n">
        <f aca="false">B34/Inputs!$C$14-1</f>
        <v>0.122282073307465</v>
      </c>
      <c r="D34" s="33" t="n">
        <f aca="false">Inputs!$C$28*(1+Inputs!$C$29*C34)/1000000</f>
        <v>561.141036653733</v>
      </c>
      <c r="E34" s="33" t="n">
        <f aca="false">($E$9*IF($D$9="C",MAX(B34-$C$9,0),MAX($C$9-B34,0))+$E$10*IF($D$10="C",MAX(B34-$C$10,0),MAX($C$10-B34,0))+$E$11*IF($D$11="C",MAX(B34-$C$11,0),MAX($C$11-B34,0)))*Inputs!$C$31*Inputs!$C$30/1000000</f>
        <v>-41.8629027344848</v>
      </c>
      <c r="F34" s="44" t="n">
        <f aca="false">Pricer!$D$23*Inputs!$C$31*Inputs!$C$30/1000000</f>
        <v>1.24698008145274</v>
      </c>
      <c r="G34" s="33" t="n">
        <f aca="false">D34+E34-F34</f>
        <v>518.031153837795</v>
      </c>
      <c r="H34" s="33" t="n">
        <f aca="false">G34-D34</f>
        <v>-43.1098828159376</v>
      </c>
    </row>
    <row r="35" customFormat="false" ht="15" hidden="false" customHeight="false" outlineLevel="0" collapsed="false">
      <c r="B35" s="42" t="n">
        <v>640</v>
      </c>
      <c r="C35" s="43" t="n">
        <f aca="false">B35/Inputs!$C$14-1</f>
        <v>0.140096074471076</v>
      </c>
      <c r="D35" s="33" t="n">
        <f aca="false">Inputs!$C$28*(1+Inputs!$C$29*C35)/1000000</f>
        <v>570.048037235538</v>
      </c>
      <c r="E35" s="33" t="n">
        <f aca="false">($E$9*IF($D$9="C",MAX(B35-$C$9,0),MAX($C$9-B35,0))+$E$10*IF($D$10="C",MAX(B35-$C$10,0),MAX($C$10-B35,0))+$E$11*IF($D$11="C",MAX(B35-$C$11,0),MAX($C$11-B35,0)))*Inputs!$C$31*Inputs!$C$30/1000000</f>
        <v>-50.7699033162901</v>
      </c>
      <c r="F35" s="44" t="n">
        <f aca="false">Pricer!$D$23*Inputs!$C$31*Inputs!$C$30/1000000</f>
        <v>1.24698008145274</v>
      </c>
      <c r="G35" s="33" t="n">
        <f aca="false">D35+E35-F35</f>
        <v>518.031153837795</v>
      </c>
      <c r="H35" s="33" t="n">
        <f aca="false">G35-D35</f>
        <v>-52.0168833977428</v>
      </c>
    </row>
    <row r="38" customFormat="false" ht="15" hidden="false" customHeight="false" outlineLevel="0" collapsed="false">
      <c r="B38" s="8" t="s">
        <v>114</v>
      </c>
      <c r="C38" s="9" t="s">
        <v>27</v>
      </c>
    </row>
    <row r="39" customFormat="false" ht="15" hidden="false" customHeight="false" outlineLevel="0" collapsed="false">
      <c r="B39" s="11" t="s">
        <v>115</v>
      </c>
      <c r="C39" s="45" t="n">
        <v>7</v>
      </c>
    </row>
    <row r="40" customFormat="false" ht="15" hidden="false" customHeight="false" outlineLevel="0" collapsed="false">
      <c r="B40" s="11" t="s">
        <v>116</v>
      </c>
      <c r="C40" s="46" t="n">
        <v>20</v>
      </c>
    </row>
    <row r="41" customFormat="false" ht="15" hidden="false" customHeight="false" outlineLevel="0" collapsed="false">
      <c r="B41" s="11" t="s">
        <v>117</v>
      </c>
      <c r="C41" s="14" t="n">
        <f aca="false">MAX(Inputs!$C$12-C39,1)/365</f>
        <v>0.142465753424658</v>
      </c>
    </row>
    <row r="42" customFormat="false" ht="15" hidden="false" customHeight="false" outlineLevel="0" collapsed="false">
      <c r="B42" s="2" t="s">
        <v>118</v>
      </c>
    </row>
    <row r="44" customFormat="false" ht="23.85" hidden="false" customHeight="false" outlineLevel="0" collapsed="false">
      <c r="B44" s="8" t="s">
        <v>119</v>
      </c>
      <c r="C44" s="9" t="s">
        <v>120</v>
      </c>
      <c r="D44" s="9" t="s">
        <v>42</v>
      </c>
      <c r="E44" s="9" t="s">
        <v>121</v>
      </c>
      <c r="F44" s="9" t="s">
        <v>122</v>
      </c>
      <c r="G44" s="9" t="s">
        <v>123</v>
      </c>
      <c r="H44" s="9" t="s">
        <v>124</v>
      </c>
      <c r="I44" s="9" t="s">
        <v>109</v>
      </c>
      <c r="J44" s="9" t="s">
        <v>125</v>
      </c>
      <c r="K44" s="9" t="s">
        <v>112</v>
      </c>
      <c r="L44" s="9" t="s">
        <v>113</v>
      </c>
    </row>
    <row r="45" customFormat="false" ht="15" hidden="false" customHeight="false" outlineLevel="0" collapsed="false">
      <c r="B45" s="47" t="n">
        <v>-0.2</v>
      </c>
      <c r="C45" s="17" t="n">
        <f aca="false">Inputs!$C$14*(1+B45)</f>
        <v>449.08496</v>
      </c>
      <c r="D45" s="17" t="n">
        <f aca="false">C45*EXP((Inputs!$C$15-Inputs!$C$16)*$C$41)</f>
        <v>451.014741210269</v>
      </c>
      <c r="E45" s="17" t="n">
        <f aca="false">EXP(-Inputs!$C$15*$C$41)*IF($D$9="C",D45*NORMSDIST((LN(D45/$C$9)+(MAX(SQRT((Inputs!$C$21+Inputs!$C$22*(Inputs!$C$23*(LN($C$9/D45)-Inputs!$C$24)+SQRT((LN($C$9/D45)-Inputs!$C$24)^2+Inputs!$C$25^2)))/Inputs!$C$13)+$C$40/100,0.01)*SQRT($C$41))^2/2)/(MAX(SQRT((Inputs!$C$21+Inputs!$C$22*(Inputs!$C$23*(LN($C$9/D45)-Inputs!$C$24)+SQRT((LN($C$9/D45)-Inputs!$C$24)^2+Inputs!$C$25^2)))/Inputs!$C$13)+$C$40/100,0.01)*SQRT($C$41)))-$C$9*NORMSDIST((LN(D45/$C$9)+(MAX(SQRT((Inputs!$C$21+Inputs!$C$22*(Inputs!$C$23*(LN($C$9/D45)-Inputs!$C$24)+SQRT((LN($C$9/D45)-Inputs!$C$24)^2+Inputs!$C$25^2)))/Inputs!$C$13)+$C$40/100,0.01)*SQRT($C$41))^2/2)/(MAX(SQRT((Inputs!$C$21+Inputs!$C$22*(Inputs!$C$23*(LN($C$9/D45)-Inputs!$C$24)+SQRT((LN($C$9/D45)-Inputs!$C$24)^2+Inputs!$C$25^2)))/Inputs!$C$13)+$C$40/100,0.01)*SQRT($C$41))-(MAX(SQRT((Inputs!$C$21+Inputs!$C$22*(Inputs!$C$23*(LN($C$9/D45)-Inputs!$C$24)+SQRT((LN($C$9/D45)-Inputs!$C$24)^2+Inputs!$C$25^2)))/Inputs!$C$13)+$C$40/100,0.01)*SQRT($C$41))),$C$9*NORMSDIST((MAX(SQRT((Inputs!$C$21+Inputs!$C$22*(Inputs!$C$23*(LN($C$9/D45)-Inputs!$C$24)+SQRT((LN($C$9/D45)-Inputs!$C$24)^2+Inputs!$C$25^2)))/Inputs!$C$13)+$C$40/100,0.01)*SQRT($C$41))-(LN(D45/$C$9)+(MAX(SQRT((Inputs!$C$21+Inputs!$C$22*(Inputs!$C$23*(LN($C$9/D45)-Inputs!$C$24)+SQRT((LN($C$9/D45)-Inputs!$C$24)^2+Inputs!$C$25^2)))/Inputs!$C$13)+$C$40/100,0.01)*SQRT($C$41))^2/2)/(MAX(SQRT((Inputs!$C$21+Inputs!$C$22*(Inputs!$C$23*(LN($C$9/D45)-Inputs!$C$24)+SQRT((LN($C$9/D45)-Inputs!$C$24)^2+Inputs!$C$25^2)))/Inputs!$C$13)+$C$40/100,0.01)*SQRT($C$41)))-D45*NORMSDIST(-(LN(D45/$C$9)+(MAX(SQRT((Inputs!$C$21+Inputs!$C$22*(Inputs!$C$23*(LN($C$9/D45)-Inputs!$C$24)+SQRT((LN($C$9/D45)-Inputs!$C$24)^2+Inputs!$C$25^2)))/Inputs!$C$13)+$C$40/100,0.01)*SQRT($C$41))^2/2)/(MAX(SQRT((Inputs!$C$21+Inputs!$C$22*(Inputs!$C$23*(LN($C$9/D45)-Inputs!$C$24)+SQRT((LN($C$9/D45)-Inputs!$C$24)^2+Inputs!$C$25^2)))/Inputs!$C$13)+$C$40/100,0.01)*SQRT($C$41))))*$E$9</f>
        <v>90.0245091597522</v>
      </c>
      <c r="F45" s="17" t="n">
        <f aca="false">EXP(-Inputs!$C$15*$C$41)*IF($D$10="C",D45*NORMSDIST((LN(D45/$C$10)+(MAX(SQRT((Inputs!$C$21+Inputs!$C$22*(Inputs!$C$23*(LN($C$10/D45)-Inputs!$C$24)+SQRT((LN($C$10/D45)-Inputs!$C$24)^2+Inputs!$C$25^2)))/Inputs!$C$13)+$C$40/100,0.01)*SQRT($C$41))^2/2)/(MAX(SQRT((Inputs!$C$21+Inputs!$C$22*(Inputs!$C$23*(LN($C$10/D45)-Inputs!$C$24)+SQRT((LN($C$10/D45)-Inputs!$C$24)^2+Inputs!$C$25^2)))/Inputs!$C$13)+$C$40/100,0.01)*SQRT($C$41)))-$C$10*NORMSDIST((LN(D45/$C$10)+(MAX(SQRT((Inputs!$C$21+Inputs!$C$22*(Inputs!$C$23*(LN($C$10/D45)-Inputs!$C$24)+SQRT((LN($C$10/D45)-Inputs!$C$24)^2+Inputs!$C$25^2)))/Inputs!$C$13)+$C$40/100,0.01)*SQRT($C$41))^2/2)/(MAX(SQRT((Inputs!$C$21+Inputs!$C$22*(Inputs!$C$23*(LN($C$10/D45)-Inputs!$C$24)+SQRT((LN($C$10/D45)-Inputs!$C$24)^2+Inputs!$C$25^2)))/Inputs!$C$13)+$C$40/100,0.01)*SQRT($C$41))-(MAX(SQRT((Inputs!$C$21+Inputs!$C$22*(Inputs!$C$23*(LN($C$10/D45)-Inputs!$C$24)+SQRT((LN($C$10/D45)-Inputs!$C$24)^2+Inputs!$C$25^2)))/Inputs!$C$13)+$C$40/100,0.01)*SQRT($C$41))),$C$10*NORMSDIST((MAX(SQRT((Inputs!$C$21+Inputs!$C$22*(Inputs!$C$23*(LN($C$10/D45)-Inputs!$C$24)+SQRT((LN($C$10/D45)-Inputs!$C$24)^2+Inputs!$C$25^2)))/Inputs!$C$13)+$C$40/100,0.01)*SQRT($C$41))-(LN(D45/$C$10)+(MAX(SQRT((Inputs!$C$21+Inputs!$C$22*(Inputs!$C$23*(LN($C$10/D45)-Inputs!$C$24)+SQRT((LN($C$10/D45)-Inputs!$C$24)^2+Inputs!$C$25^2)))/Inputs!$C$13)+$C$40/100,0.01)*SQRT($C$41))^2/2)/(MAX(SQRT((Inputs!$C$21+Inputs!$C$22*(Inputs!$C$23*(LN($C$10/D45)-Inputs!$C$24)+SQRT((LN($C$10/D45)-Inputs!$C$24)^2+Inputs!$C$25^2)))/Inputs!$C$13)+$C$40/100,0.01)*SQRT($C$41)))-D45*NORMSDIST(-(LN(D45/$C$10)+(MAX(SQRT((Inputs!$C$21+Inputs!$C$22*(Inputs!$C$23*(LN($C$10/D45)-Inputs!$C$24)+SQRT((LN($C$10/D45)-Inputs!$C$24)^2+Inputs!$C$25^2)))/Inputs!$C$13)+$C$40/100,0.01)*SQRT($C$41))^2/2)/(MAX(SQRT((Inputs!$C$21+Inputs!$C$22*(Inputs!$C$23*(LN($C$10/D45)-Inputs!$C$24)+SQRT((LN($C$10/D45)-Inputs!$C$24)^2+Inputs!$C$25^2)))/Inputs!$C$13)+$C$40/100,0.01)*SQRT($C$41))))*$E$10</f>
        <v>-1.15313296481913</v>
      </c>
      <c r="G45" s="17" t="n">
        <f aca="false">EXP(-Inputs!$C$15*$C$41)*IF($D$11="C",D45*NORMSDIST((LN(D45/$C$11)+(MAX(SQRT((Inputs!$C$21+Inputs!$C$22*(Inputs!$C$23*(LN($C$11/D45)-Inputs!$C$24)+SQRT((LN($C$11/D45)-Inputs!$C$24)^2+Inputs!$C$25^2)))/Inputs!$C$13)+$C$40/100,0.01)*SQRT($C$41))^2/2)/(MAX(SQRT((Inputs!$C$21+Inputs!$C$22*(Inputs!$C$23*(LN($C$11/D45)-Inputs!$C$24)+SQRT((LN($C$11/D45)-Inputs!$C$24)^2+Inputs!$C$25^2)))/Inputs!$C$13)+$C$40/100,0.01)*SQRT($C$41)))-$C$11*NORMSDIST((LN(D45/$C$11)+(MAX(SQRT((Inputs!$C$21+Inputs!$C$22*(Inputs!$C$23*(LN($C$11/D45)-Inputs!$C$24)+SQRT((LN($C$11/D45)-Inputs!$C$24)^2+Inputs!$C$25^2)))/Inputs!$C$13)+$C$40/100,0.01)*SQRT($C$41))^2/2)/(MAX(SQRT((Inputs!$C$21+Inputs!$C$22*(Inputs!$C$23*(LN($C$11/D45)-Inputs!$C$24)+SQRT((LN($C$11/D45)-Inputs!$C$24)^2+Inputs!$C$25^2)))/Inputs!$C$13)+$C$40/100,0.01)*SQRT($C$41))-(MAX(SQRT((Inputs!$C$21+Inputs!$C$22*(Inputs!$C$23*(LN($C$11/D45)-Inputs!$C$24)+SQRT((LN($C$11/D45)-Inputs!$C$24)^2+Inputs!$C$25^2)))/Inputs!$C$13)+$C$40/100,0.01)*SQRT($C$41))),$C$11*NORMSDIST((MAX(SQRT((Inputs!$C$21+Inputs!$C$22*(Inputs!$C$23*(LN($C$11/D45)-Inputs!$C$24)+SQRT((LN($C$11/D45)-Inputs!$C$24)^2+Inputs!$C$25^2)))/Inputs!$C$13)+$C$40/100,0.01)*SQRT($C$41))-(LN(D45/$C$11)+(MAX(SQRT((Inputs!$C$21+Inputs!$C$22*(Inputs!$C$23*(LN($C$11/D45)-Inputs!$C$24)+SQRT((LN($C$11/D45)-Inputs!$C$24)^2+Inputs!$C$25^2)))/Inputs!$C$13)+$C$40/100,0.01)*SQRT($C$41))^2/2)/(MAX(SQRT((Inputs!$C$21+Inputs!$C$22*(Inputs!$C$23*(LN($C$11/D45)-Inputs!$C$24)+SQRT((LN($C$11/D45)-Inputs!$C$24)^2+Inputs!$C$25^2)))/Inputs!$C$13)+$C$40/100,0.01)*SQRT($C$41)))-D45*NORMSDIST(-(LN(D45/$C$11)+(MAX(SQRT((Inputs!$C$21+Inputs!$C$22*(Inputs!$C$23*(LN($C$11/D45)-Inputs!$C$24)+SQRT((LN($C$11/D45)-Inputs!$C$24)^2+Inputs!$C$25^2)))/Inputs!$C$13)+$C$40/100,0.01)*SQRT($C$41))^2/2)/(MAX(SQRT((Inputs!$C$21+Inputs!$C$22*(Inputs!$C$23*(LN($C$11/D45)-Inputs!$C$24)+SQRT((LN($C$11/D45)-Inputs!$C$24)^2+Inputs!$C$25^2)))/Inputs!$C$13)+$C$40/100,0.01)*SQRT($C$41))))*$E$11</f>
        <v>0</v>
      </c>
      <c r="H45" s="17" t="n">
        <f aca="false">E45+F45+G45</f>
        <v>88.871376194933</v>
      </c>
      <c r="I45" s="33" t="n">
        <f aca="false">Inputs!$C$28*(1+Inputs!$C$29*B45)/1000000</f>
        <v>400</v>
      </c>
      <c r="J45" s="33" t="n">
        <f aca="false">(H45-Pricer!$D$23)*Inputs!$C$31*Inputs!$C$30/1000000</f>
        <v>77.9107598659577</v>
      </c>
      <c r="K45" s="33" t="n">
        <f aca="false">I45+J45</f>
        <v>477.910759865958</v>
      </c>
      <c r="L45" s="33" t="n">
        <f aca="false">K45-I45</f>
        <v>77.9107598659577</v>
      </c>
    </row>
    <row r="46" customFormat="false" ht="15" hidden="false" customHeight="false" outlineLevel="0" collapsed="false">
      <c r="B46" s="47" t="n">
        <v>-0.175</v>
      </c>
      <c r="C46" s="17" t="n">
        <f aca="false">Inputs!$C$14*(1+B46)</f>
        <v>463.118865</v>
      </c>
      <c r="D46" s="17" t="n">
        <f aca="false">C46*EXP((Inputs!$C$15-Inputs!$C$16)*$C$41)</f>
        <v>465.10895187309</v>
      </c>
      <c r="E46" s="17" t="n">
        <f aca="false">EXP(-Inputs!$C$15*$C$41)*IF($D$9="C",D46*NORMSDIST((LN(D46/$C$9)+(MAX(SQRT((Inputs!$C$21+Inputs!$C$22*(Inputs!$C$23*(LN($C$9/D46)-Inputs!$C$24)+SQRT((LN($C$9/D46)-Inputs!$C$24)^2+Inputs!$C$25^2)))/Inputs!$C$13)+$C$40/100,0.01)*SQRT($C$41))^2/2)/(MAX(SQRT((Inputs!$C$21+Inputs!$C$22*(Inputs!$C$23*(LN($C$9/D46)-Inputs!$C$24)+SQRT((LN($C$9/D46)-Inputs!$C$24)^2+Inputs!$C$25^2)))/Inputs!$C$13)+$C$40/100,0.01)*SQRT($C$41)))-$C$9*NORMSDIST((LN(D46/$C$9)+(MAX(SQRT((Inputs!$C$21+Inputs!$C$22*(Inputs!$C$23*(LN($C$9/D46)-Inputs!$C$24)+SQRT((LN($C$9/D46)-Inputs!$C$24)^2+Inputs!$C$25^2)))/Inputs!$C$13)+$C$40/100,0.01)*SQRT($C$41))^2/2)/(MAX(SQRT((Inputs!$C$21+Inputs!$C$22*(Inputs!$C$23*(LN($C$9/D46)-Inputs!$C$24)+SQRT((LN($C$9/D46)-Inputs!$C$24)^2+Inputs!$C$25^2)))/Inputs!$C$13)+$C$40/100,0.01)*SQRT($C$41))-(MAX(SQRT((Inputs!$C$21+Inputs!$C$22*(Inputs!$C$23*(LN($C$9/D46)-Inputs!$C$24)+SQRT((LN($C$9/D46)-Inputs!$C$24)^2+Inputs!$C$25^2)))/Inputs!$C$13)+$C$40/100,0.01)*SQRT($C$41))),$C$9*NORMSDIST((MAX(SQRT((Inputs!$C$21+Inputs!$C$22*(Inputs!$C$23*(LN($C$9/D46)-Inputs!$C$24)+SQRT((LN($C$9/D46)-Inputs!$C$24)^2+Inputs!$C$25^2)))/Inputs!$C$13)+$C$40/100,0.01)*SQRT($C$41))-(LN(D46/$C$9)+(MAX(SQRT((Inputs!$C$21+Inputs!$C$22*(Inputs!$C$23*(LN($C$9/D46)-Inputs!$C$24)+SQRT((LN($C$9/D46)-Inputs!$C$24)^2+Inputs!$C$25^2)))/Inputs!$C$13)+$C$40/100,0.01)*SQRT($C$41))^2/2)/(MAX(SQRT((Inputs!$C$21+Inputs!$C$22*(Inputs!$C$23*(LN($C$9/D46)-Inputs!$C$24)+SQRT((LN($C$9/D46)-Inputs!$C$24)^2+Inputs!$C$25^2)))/Inputs!$C$13)+$C$40/100,0.01)*SQRT($C$41)))-D46*NORMSDIST(-(LN(D46/$C$9)+(MAX(SQRT((Inputs!$C$21+Inputs!$C$22*(Inputs!$C$23*(LN($C$9/D46)-Inputs!$C$24)+SQRT((LN($C$9/D46)-Inputs!$C$24)^2+Inputs!$C$25^2)))/Inputs!$C$13)+$C$40/100,0.01)*SQRT($C$41))^2/2)/(MAX(SQRT((Inputs!$C$21+Inputs!$C$22*(Inputs!$C$23*(LN($C$9/D46)-Inputs!$C$24)+SQRT((LN($C$9/D46)-Inputs!$C$24)^2+Inputs!$C$25^2)))/Inputs!$C$13)+$C$40/100,0.01)*SQRT($C$41))))*$E$9</f>
        <v>77.3550330793687</v>
      </c>
      <c r="F46" s="17" t="n">
        <f aca="false">EXP(-Inputs!$C$15*$C$41)*IF($D$10="C",D46*NORMSDIST((LN(D46/$C$10)+(MAX(SQRT((Inputs!$C$21+Inputs!$C$22*(Inputs!$C$23*(LN($C$10/D46)-Inputs!$C$24)+SQRT((LN($C$10/D46)-Inputs!$C$24)^2+Inputs!$C$25^2)))/Inputs!$C$13)+$C$40/100,0.01)*SQRT($C$41))^2/2)/(MAX(SQRT((Inputs!$C$21+Inputs!$C$22*(Inputs!$C$23*(LN($C$10/D46)-Inputs!$C$24)+SQRT((LN($C$10/D46)-Inputs!$C$24)^2+Inputs!$C$25^2)))/Inputs!$C$13)+$C$40/100,0.01)*SQRT($C$41)))-$C$10*NORMSDIST((LN(D46/$C$10)+(MAX(SQRT((Inputs!$C$21+Inputs!$C$22*(Inputs!$C$23*(LN($C$10/D46)-Inputs!$C$24)+SQRT((LN($C$10/D46)-Inputs!$C$24)^2+Inputs!$C$25^2)))/Inputs!$C$13)+$C$40/100,0.01)*SQRT($C$41))^2/2)/(MAX(SQRT((Inputs!$C$21+Inputs!$C$22*(Inputs!$C$23*(LN($C$10/D46)-Inputs!$C$24)+SQRT((LN($C$10/D46)-Inputs!$C$24)^2+Inputs!$C$25^2)))/Inputs!$C$13)+$C$40/100,0.01)*SQRT($C$41))-(MAX(SQRT((Inputs!$C$21+Inputs!$C$22*(Inputs!$C$23*(LN($C$10/D46)-Inputs!$C$24)+SQRT((LN($C$10/D46)-Inputs!$C$24)^2+Inputs!$C$25^2)))/Inputs!$C$13)+$C$40/100,0.01)*SQRT($C$41))),$C$10*NORMSDIST((MAX(SQRT((Inputs!$C$21+Inputs!$C$22*(Inputs!$C$23*(LN($C$10/D46)-Inputs!$C$24)+SQRT((LN($C$10/D46)-Inputs!$C$24)^2+Inputs!$C$25^2)))/Inputs!$C$13)+$C$40/100,0.01)*SQRT($C$41))-(LN(D46/$C$10)+(MAX(SQRT((Inputs!$C$21+Inputs!$C$22*(Inputs!$C$23*(LN($C$10/D46)-Inputs!$C$24)+SQRT((LN($C$10/D46)-Inputs!$C$24)^2+Inputs!$C$25^2)))/Inputs!$C$13)+$C$40/100,0.01)*SQRT($C$41))^2/2)/(MAX(SQRT((Inputs!$C$21+Inputs!$C$22*(Inputs!$C$23*(LN($C$10/D46)-Inputs!$C$24)+SQRT((LN($C$10/D46)-Inputs!$C$24)^2+Inputs!$C$25^2)))/Inputs!$C$13)+$C$40/100,0.01)*SQRT($C$41)))-D46*NORMSDIST(-(LN(D46/$C$10)+(MAX(SQRT((Inputs!$C$21+Inputs!$C$22*(Inputs!$C$23*(LN($C$10/D46)-Inputs!$C$24)+SQRT((LN($C$10/D46)-Inputs!$C$24)^2+Inputs!$C$25^2)))/Inputs!$C$13)+$C$40/100,0.01)*SQRT($C$41))^2/2)/(MAX(SQRT((Inputs!$C$21+Inputs!$C$22*(Inputs!$C$23*(LN($C$10/D46)-Inputs!$C$24)+SQRT((LN($C$10/D46)-Inputs!$C$24)^2+Inputs!$C$25^2)))/Inputs!$C$13)+$C$40/100,0.01)*SQRT($C$41))))*$E$10</f>
        <v>-1.58087650442187</v>
      </c>
      <c r="G46" s="17" t="n">
        <f aca="false">EXP(-Inputs!$C$15*$C$41)*IF($D$11="C",D46*NORMSDIST((LN(D46/$C$11)+(MAX(SQRT((Inputs!$C$21+Inputs!$C$22*(Inputs!$C$23*(LN($C$11/D46)-Inputs!$C$24)+SQRT((LN($C$11/D46)-Inputs!$C$24)^2+Inputs!$C$25^2)))/Inputs!$C$13)+$C$40/100,0.01)*SQRT($C$41))^2/2)/(MAX(SQRT((Inputs!$C$21+Inputs!$C$22*(Inputs!$C$23*(LN($C$11/D46)-Inputs!$C$24)+SQRT((LN($C$11/D46)-Inputs!$C$24)^2+Inputs!$C$25^2)))/Inputs!$C$13)+$C$40/100,0.01)*SQRT($C$41)))-$C$11*NORMSDIST((LN(D46/$C$11)+(MAX(SQRT((Inputs!$C$21+Inputs!$C$22*(Inputs!$C$23*(LN($C$11/D46)-Inputs!$C$24)+SQRT((LN($C$11/D46)-Inputs!$C$24)^2+Inputs!$C$25^2)))/Inputs!$C$13)+$C$40/100,0.01)*SQRT($C$41))^2/2)/(MAX(SQRT((Inputs!$C$21+Inputs!$C$22*(Inputs!$C$23*(LN($C$11/D46)-Inputs!$C$24)+SQRT((LN($C$11/D46)-Inputs!$C$24)^2+Inputs!$C$25^2)))/Inputs!$C$13)+$C$40/100,0.01)*SQRT($C$41))-(MAX(SQRT((Inputs!$C$21+Inputs!$C$22*(Inputs!$C$23*(LN($C$11/D46)-Inputs!$C$24)+SQRT((LN($C$11/D46)-Inputs!$C$24)^2+Inputs!$C$25^2)))/Inputs!$C$13)+$C$40/100,0.01)*SQRT($C$41))),$C$11*NORMSDIST((MAX(SQRT((Inputs!$C$21+Inputs!$C$22*(Inputs!$C$23*(LN($C$11/D46)-Inputs!$C$24)+SQRT((LN($C$11/D46)-Inputs!$C$24)^2+Inputs!$C$25^2)))/Inputs!$C$13)+$C$40/100,0.01)*SQRT($C$41))-(LN(D46/$C$11)+(MAX(SQRT((Inputs!$C$21+Inputs!$C$22*(Inputs!$C$23*(LN($C$11/D46)-Inputs!$C$24)+SQRT((LN($C$11/D46)-Inputs!$C$24)^2+Inputs!$C$25^2)))/Inputs!$C$13)+$C$40/100,0.01)*SQRT($C$41))^2/2)/(MAX(SQRT((Inputs!$C$21+Inputs!$C$22*(Inputs!$C$23*(LN($C$11/D46)-Inputs!$C$24)+SQRT((LN($C$11/D46)-Inputs!$C$24)^2+Inputs!$C$25^2)))/Inputs!$C$13)+$C$40/100,0.01)*SQRT($C$41)))-D46*NORMSDIST(-(LN(D46/$C$11)+(MAX(SQRT((Inputs!$C$21+Inputs!$C$22*(Inputs!$C$23*(LN($C$11/D46)-Inputs!$C$24)+SQRT((LN($C$11/D46)-Inputs!$C$24)^2+Inputs!$C$25^2)))/Inputs!$C$13)+$C$40/100,0.01)*SQRT($C$41))^2/2)/(MAX(SQRT((Inputs!$C$21+Inputs!$C$22*(Inputs!$C$23*(LN($C$11/D46)-Inputs!$C$24)+SQRT((LN($C$11/D46)-Inputs!$C$24)^2+Inputs!$C$25^2)))/Inputs!$C$13)+$C$40/100,0.01)*SQRT($C$41))))*$E$11</f>
        <v>0</v>
      </c>
      <c r="H46" s="17" t="n">
        <f aca="false">E46+F46+G46</f>
        <v>75.7741565749468</v>
      </c>
      <c r="I46" s="33" t="n">
        <f aca="false">Inputs!$C$28*(1+Inputs!$C$29*B46)/1000000</f>
        <v>412.5</v>
      </c>
      <c r="J46" s="33" t="n">
        <f aca="false">(H46-Pricer!$D$23)*Inputs!$C$31*Inputs!$C$30/1000000</f>
        <v>66.2450655884328</v>
      </c>
      <c r="K46" s="33" t="n">
        <f aca="false">I46+J46</f>
        <v>478.745065588433</v>
      </c>
      <c r="L46" s="33" t="n">
        <f aca="false">K46-I46</f>
        <v>66.2450655884329</v>
      </c>
    </row>
    <row r="47" customFormat="false" ht="15" hidden="false" customHeight="false" outlineLevel="0" collapsed="false">
      <c r="B47" s="47" t="n">
        <v>-0.15</v>
      </c>
      <c r="C47" s="17" t="n">
        <f aca="false">Inputs!$C$14*(1+B47)</f>
        <v>477.15277</v>
      </c>
      <c r="D47" s="17" t="n">
        <f aca="false">C47*EXP((Inputs!$C$15-Inputs!$C$16)*$C$41)</f>
        <v>479.203162535911</v>
      </c>
      <c r="E47" s="17" t="n">
        <f aca="false">EXP(-Inputs!$C$15*$C$41)*IF($D$9="C",D47*NORMSDIST((LN(D47/$C$9)+(MAX(SQRT((Inputs!$C$21+Inputs!$C$22*(Inputs!$C$23*(LN($C$9/D47)-Inputs!$C$24)+SQRT((LN($C$9/D47)-Inputs!$C$24)^2+Inputs!$C$25^2)))/Inputs!$C$13)+$C$40/100,0.01)*SQRT($C$41))^2/2)/(MAX(SQRT((Inputs!$C$21+Inputs!$C$22*(Inputs!$C$23*(LN($C$9/D47)-Inputs!$C$24)+SQRT((LN($C$9/D47)-Inputs!$C$24)^2+Inputs!$C$25^2)))/Inputs!$C$13)+$C$40/100,0.01)*SQRT($C$41)))-$C$9*NORMSDIST((LN(D47/$C$9)+(MAX(SQRT((Inputs!$C$21+Inputs!$C$22*(Inputs!$C$23*(LN($C$9/D47)-Inputs!$C$24)+SQRT((LN($C$9/D47)-Inputs!$C$24)^2+Inputs!$C$25^2)))/Inputs!$C$13)+$C$40/100,0.01)*SQRT($C$41))^2/2)/(MAX(SQRT((Inputs!$C$21+Inputs!$C$22*(Inputs!$C$23*(LN($C$9/D47)-Inputs!$C$24)+SQRT((LN($C$9/D47)-Inputs!$C$24)^2+Inputs!$C$25^2)))/Inputs!$C$13)+$C$40/100,0.01)*SQRT($C$41))-(MAX(SQRT((Inputs!$C$21+Inputs!$C$22*(Inputs!$C$23*(LN($C$9/D47)-Inputs!$C$24)+SQRT((LN($C$9/D47)-Inputs!$C$24)^2+Inputs!$C$25^2)))/Inputs!$C$13)+$C$40/100,0.01)*SQRT($C$41))),$C$9*NORMSDIST((MAX(SQRT((Inputs!$C$21+Inputs!$C$22*(Inputs!$C$23*(LN($C$9/D47)-Inputs!$C$24)+SQRT((LN($C$9/D47)-Inputs!$C$24)^2+Inputs!$C$25^2)))/Inputs!$C$13)+$C$40/100,0.01)*SQRT($C$41))-(LN(D47/$C$9)+(MAX(SQRT((Inputs!$C$21+Inputs!$C$22*(Inputs!$C$23*(LN($C$9/D47)-Inputs!$C$24)+SQRT((LN($C$9/D47)-Inputs!$C$24)^2+Inputs!$C$25^2)))/Inputs!$C$13)+$C$40/100,0.01)*SQRT($C$41))^2/2)/(MAX(SQRT((Inputs!$C$21+Inputs!$C$22*(Inputs!$C$23*(LN($C$9/D47)-Inputs!$C$24)+SQRT((LN($C$9/D47)-Inputs!$C$24)^2+Inputs!$C$25^2)))/Inputs!$C$13)+$C$40/100,0.01)*SQRT($C$41)))-D47*NORMSDIST(-(LN(D47/$C$9)+(MAX(SQRT((Inputs!$C$21+Inputs!$C$22*(Inputs!$C$23*(LN($C$9/D47)-Inputs!$C$24)+SQRT((LN($C$9/D47)-Inputs!$C$24)^2+Inputs!$C$25^2)))/Inputs!$C$13)+$C$40/100,0.01)*SQRT($C$41))^2/2)/(MAX(SQRT((Inputs!$C$21+Inputs!$C$22*(Inputs!$C$23*(LN($C$9/D47)-Inputs!$C$24)+SQRT((LN($C$9/D47)-Inputs!$C$24)^2+Inputs!$C$25^2)))/Inputs!$C$13)+$C$40/100,0.01)*SQRT($C$41))))*$E$9</f>
        <v>65.5015449006052</v>
      </c>
      <c r="F47" s="17" t="n">
        <f aca="false">EXP(-Inputs!$C$15*$C$41)*IF($D$10="C",D47*NORMSDIST((LN(D47/$C$10)+(MAX(SQRT((Inputs!$C$21+Inputs!$C$22*(Inputs!$C$23*(LN($C$10/D47)-Inputs!$C$24)+SQRT((LN($C$10/D47)-Inputs!$C$24)^2+Inputs!$C$25^2)))/Inputs!$C$13)+$C$40/100,0.01)*SQRT($C$41))^2/2)/(MAX(SQRT((Inputs!$C$21+Inputs!$C$22*(Inputs!$C$23*(LN($C$10/D47)-Inputs!$C$24)+SQRT((LN($C$10/D47)-Inputs!$C$24)^2+Inputs!$C$25^2)))/Inputs!$C$13)+$C$40/100,0.01)*SQRT($C$41)))-$C$10*NORMSDIST((LN(D47/$C$10)+(MAX(SQRT((Inputs!$C$21+Inputs!$C$22*(Inputs!$C$23*(LN($C$10/D47)-Inputs!$C$24)+SQRT((LN($C$10/D47)-Inputs!$C$24)^2+Inputs!$C$25^2)))/Inputs!$C$13)+$C$40/100,0.01)*SQRT($C$41))^2/2)/(MAX(SQRT((Inputs!$C$21+Inputs!$C$22*(Inputs!$C$23*(LN($C$10/D47)-Inputs!$C$24)+SQRT((LN($C$10/D47)-Inputs!$C$24)^2+Inputs!$C$25^2)))/Inputs!$C$13)+$C$40/100,0.01)*SQRT($C$41))-(MAX(SQRT((Inputs!$C$21+Inputs!$C$22*(Inputs!$C$23*(LN($C$10/D47)-Inputs!$C$24)+SQRT((LN($C$10/D47)-Inputs!$C$24)^2+Inputs!$C$25^2)))/Inputs!$C$13)+$C$40/100,0.01)*SQRT($C$41))),$C$10*NORMSDIST((MAX(SQRT((Inputs!$C$21+Inputs!$C$22*(Inputs!$C$23*(LN($C$10/D47)-Inputs!$C$24)+SQRT((LN($C$10/D47)-Inputs!$C$24)^2+Inputs!$C$25^2)))/Inputs!$C$13)+$C$40/100,0.01)*SQRT($C$41))-(LN(D47/$C$10)+(MAX(SQRT((Inputs!$C$21+Inputs!$C$22*(Inputs!$C$23*(LN($C$10/D47)-Inputs!$C$24)+SQRT((LN($C$10/D47)-Inputs!$C$24)^2+Inputs!$C$25^2)))/Inputs!$C$13)+$C$40/100,0.01)*SQRT($C$41))^2/2)/(MAX(SQRT((Inputs!$C$21+Inputs!$C$22*(Inputs!$C$23*(LN($C$10/D47)-Inputs!$C$24)+SQRT((LN($C$10/D47)-Inputs!$C$24)^2+Inputs!$C$25^2)))/Inputs!$C$13)+$C$40/100,0.01)*SQRT($C$41)))-D47*NORMSDIST(-(LN(D47/$C$10)+(MAX(SQRT((Inputs!$C$21+Inputs!$C$22*(Inputs!$C$23*(LN($C$10/D47)-Inputs!$C$24)+SQRT((LN($C$10/D47)-Inputs!$C$24)^2+Inputs!$C$25^2)))/Inputs!$C$13)+$C$40/100,0.01)*SQRT($C$41))^2/2)/(MAX(SQRT((Inputs!$C$21+Inputs!$C$22*(Inputs!$C$23*(LN($C$10/D47)-Inputs!$C$24)+SQRT((LN($C$10/D47)-Inputs!$C$24)^2+Inputs!$C$25^2)))/Inputs!$C$13)+$C$40/100,0.01)*SQRT($C$41))))*$E$10</f>
        <v>-2.22456780414456</v>
      </c>
      <c r="G47" s="17" t="n">
        <f aca="false">EXP(-Inputs!$C$15*$C$41)*IF($D$11="C",D47*NORMSDIST((LN(D47/$C$11)+(MAX(SQRT((Inputs!$C$21+Inputs!$C$22*(Inputs!$C$23*(LN($C$11/D47)-Inputs!$C$24)+SQRT((LN($C$11/D47)-Inputs!$C$24)^2+Inputs!$C$25^2)))/Inputs!$C$13)+$C$40/100,0.01)*SQRT($C$41))^2/2)/(MAX(SQRT((Inputs!$C$21+Inputs!$C$22*(Inputs!$C$23*(LN($C$11/D47)-Inputs!$C$24)+SQRT((LN($C$11/D47)-Inputs!$C$24)^2+Inputs!$C$25^2)))/Inputs!$C$13)+$C$40/100,0.01)*SQRT($C$41)))-$C$11*NORMSDIST((LN(D47/$C$11)+(MAX(SQRT((Inputs!$C$21+Inputs!$C$22*(Inputs!$C$23*(LN($C$11/D47)-Inputs!$C$24)+SQRT((LN($C$11/D47)-Inputs!$C$24)^2+Inputs!$C$25^2)))/Inputs!$C$13)+$C$40/100,0.01)*SQRT($C$41))^2/2)/(MAX(SQRT((Inputs!$C$21+Inputs!$C$22*(Inputs!$C$23*(LN($C$11/D47)-Inputs!$C$24)+SQRT((LN($C$11/D47)-Inputs!$C$24)^2+Inputs!$C$25^2)))/Inputs!$C$13)+$C$40/100,0.01)*SQRT($C$41))-(MAX(SQRT((Inputs!$C$21+Inputs!$C$22*(Inputs!$C$23*(LN($C$11/D47)-Inputs!$C$24)+SQRT((LN($C$11/D47)-Inputs!$C$24)^2+Inputs!$C$25^2)))/Inputs!$C$13)+$C$40/100,0.01)*SQRT($C$41))),$C$11*NORMSDIST((MAX(SQRT((Inputs!$C$21+Inputs!$C$22*(Inputs!$C$23*(LN($C$11/D47)-Inputs!$C$24)+SQRT((LN($C$11/D47)-Inputs!$C$24)^2+Inputs!$C$25^2)))/Inputs!$C$13)+$C$40/100,0.01)*SQRT($C$41))-(LN(D47/$C$11)+(MAX(SQRT((Inputs!$C$21+Inputs!$C$22*(Inputs!$C$23*(LN($C$11/D47)-Inputs!$C$24)+SQRT((LN($C$11/D47)-Inputs!$C$24)^2+Inputs!$C$25^2)))/Inputs!$C$13)+$C$40/100,0.01)*SQRT($C$41))^2/2)/(MAX(SQRT((Inputs!$C$21+Inputs!$C$22*(Inputs!$C$23*(LN($C$11/D47)-Inputs!$C$24)+SQRT((LN($C$11/D47)-Inputs!$C$24)^2+Inputs!$C$25^2)))/Inputs!$C$13)+$C$40/100,0.01)*SQRT($C$41)))-D47*NORMSDIST(-(LN(D47/$C$11)+(MAX(SQRT((Inputs!$C$21+Inputs!$C$22*(Inputs!$C$23*(LN($C$11/D47)-Inputs!$C$24)+SQRT((LN($C$11/D47)-Inputs!$C$24)^2+Inputs!$C$25^2)))/Inputs!$C$13)+$C$40/100,0.01)*SQRT($C$41))^2/2)/(MAX(SQRT((Inputs!$C$21+Inputs!$C$22*(Inputs!$C$23*(LN($C$11/D47)-Inputs!$C$24)+SQRT((LN($C$11/D47)-Inputs!$C$24)^2+Inputs!$C$25^2)))/Inputs!$C$13)+$C$40/100,0.01)*SQRT($C$41))))*$E$11</f>
        <v>0</v>
      </c>
      <c r="H47" s="17" t="n">
        <f aca="false">E47+F47+G47</f>
        <v>63.2769770964606</v>
      </c>
      <c r="I47" s="33" t="n">
        <f aca="false">Inputs!$C$28*(1+Inputs!$C$29*B47)/1000000</f>
        <v>425</v>
      </c>
      <c r="J47" s="33" t="n">
        <f aca="false">(H47-Pricer!$D$23)*Inputs!$C$31*Inputs!$C$30/1000000</f>
        <v>55.1138270998527</v>
      </c>
      <c r="K47" s="33" t="n">
        <f aca="false">I47+J47</f>
        <v>480.113827099853</v>
      </c>
      <c r="L47" s="33" t="n">
        <f aca="false">K47-I47</f>
        <v>55.1138270998527</v>
      </c>
    </row>
    <row r="48" customFormat="false" ht="15" hidden="false" customHeight="false" outlineLevel="0" collapsed="false">
      <c r="B48" s="47" t="n">
        <v>-0.125</v>
      </c>
      <c r="C48" s="17" t="n">
        <f aca="false">Inputs!$C$14*(1+B48)</f>
        <v>491.186675</v>
      </c>
      <c r="D48" s="17" t="n">
        <f aca="false">C48*EXP((Inputs!$C$15-Inputs!$C$16)*$C$41)</f>
        <v>493.297373198732</v>
      </c>
      <c r="E48" s="17" t="n">
        <f aca="false">EXP(-Inputs!$C$15*$C$41)*IF($D$9="C",D48*NORMSDIST((LN(D48/$C$9)+(MAX(SQRT((Inputs!$C$21+Inputs!$C$22*(Inputs!$C$23*(LN($C$9/D48)-Inputs!$C$24)+SQRT((LN($C$9/D48)-Inputs!$C$24)^2+Inputs!$C$25^2)))/Inputs!$C$13)+$C$40/100,0.01)*SQRT($C$41))^2/2)/(MAX(SQRT((Inputs!$C$21+Inputs!$C$22*(Inputs!$C$23*(LN($C$9/D48)-Inputs!$C$24)+SQRT((LN($C$9/D48)-Inputs!$C$24)^2+Inputs!$C$25^2)))/Inputs!$C$13)+$C$40/100,0.01)*SQRT($C$41)))-$C$9*NORMSDIST((LN(D48/$C$9)+(MAX(SQRT((Inputs!$C$21+Inputs!$C$22*(Inputs!$C$23*(LN($C$9/D48)-Inputs!$C$24)+SQRT((LN($C$9/D48)-Inputs!$C$24)^2+Inputs!$C$25^2)))/Inputs!$C$13)+$C$40/100,0.01)*SQRT($C$41))^2/2)/(MAX(SQRT((Inputs!$C$21+Inputs!$C$22*(Inputs!$C$23*(LN($C$9/D48)-Inputs!$C$24)+SQRT((LN($C$9/D48)-Inputs!$C$24)^2+Inputs!$C$25^2)))/Inputs!$C$13)+$C$40/100,0.01)*SQRT($C$41))-(MAX(SQRT((Inputs!$C$21+Inputs!$C$22*(Inputs!$C$23*(LN($C$9/D48)-Inputs!$C$24)+SQRT((LN($C$9/D48)-Inputs!$C$24)^2+Inputs!$C$25^2)))/Inputs!$C$13)+$C$40/100,0.01)*SQRT($C$41))),$C$9*NORMSDIST((MAX(SQRT((Inputs!$C$21+Inputs!$C$22*(Inputs!$C$23*(LN($C$9/D48)-Inputs!$C$24)+SQRT((LN($C$9/D48)-Inputs!$C$24)^2+Inputs!$C$25^2)))/Inputs!$C$13)+$C$40/100,0.01)*SQRT($C$41))-(LN(D48/$C$9)+(MAX(SQRT((Inputs!$C$21+Inputs!$C$22*(Inputs!$C$23*(LN($C$9/D48)-Inputs!$C$24)+SQRT((LN($C$9/D48)-Inputs!$C$24)^2+Inputs!$C$25^2)))/Inputs!$C$13)+$C$40/100,0.01)*SQRT($C$41))^2/2)/(MAX(SQRT((Inputs!$C$21+Inputs!$C$22*(Inputs!$C$23*(LN($C$9/D48)-Inputs!$C$24)+SQRT((LN($C$9/D48)-Inputs!$C$24)^2+Inputs!$C$25^2)))/Inputs!$C$13)+$C$40/100,0.01)*SQRT($C$41)))-D48*NORMSDIST(-(LN(D48/$C$9)+(MAX(SQRT((Inputs!$C$21+Inputs!$C$22*(Inputs!$C$23*(LN($C$9/D48)-Inputs!$C$24)+SQRT((LN($C$9/D48)-Inputs!$C$24)^2+Inputs!$C$25^2)))/Inputs!$C$13)+$C$40/100,0.01)*SQRT($C$41))^2/2)/(MAX(SQRT((Inputs!$C$21+Inputs!$C$22*(Inputs!$C$23*(LN($C$9/D48)-Inputs!$C$24)+SQRT((LN($C$9/D48)-Inputs!$C$24)^2+Inputs!$C$25^2)))/Inputs!$C$13)+$C$40/100,0.01)*SQRT($C$41))))*$E$9</f>
        <v>54.8090379624659</v>
      </c>
      <c r="F48" s="17" t="n">
        <f aca="false">EXP(-Inputs!$C$15*$C$41)*IF($D$10="C",D48*NORMSDIST((LN(D48/$C$10)+(MAX(SQRT((Inputs!$C$21+Inputs!$C$22*(Inputs!$C$23*(LN($C$10/D48)-Inputs!$C$24)+SQRT((LN($C$10/D48)-Inputs!$C$24)^2+Inputs!$C$25^2)))/Inputs!$C$13)+$C$40/100,0.01)*SQRT($C$41))^2/2)/(MAX(SQRT((Inputs!$C$21+Inputs!$C$22*(Inputs!$C$23*(LN($C$10/D48)-Inputs!$C$24)+SQRT((LN($C$10/D48)-Inputs!$C$24)^2+Inputs!$C$25^2)))/Inputs!$C$13)+$C$40/100,0.01)*SQRT($C$41)))-$C$10*NORMSDIST((LN(D48/$C$10)+(MAX(SQRT((Inputs!$C$21+Inputs!$C$22*(Inputs!$C$23*(LN($C$10/D48)-Inputs!$C$24)+SQRT((LN($C$10/D48)-Inputs!$C$24)^2+Inputs!$C$25^2)))/Inputs!$C$13)+$C$40/100,0.01)*SQRT($C$41))^2/2)/(MAX(SQRT((Inputs!$C$21+Inputs!$C$22*(Inputs!$C$23*(LN($C$10/D48)-Inputs!$C$24)+SQRT((LN($C$10/D48)-Inputs!$C$24)^2+Inputs!$C$25^2)))/Inputs!$C$13)+$C$40/100,0.01)*SQRT($C$41))-(MAX(SQRT((Inputs!$C$21+Inputs!$C$22*(Inputs!$C$23*(LN($C$10/D48)-Inputs!$C$24)+SQRT((LN($C$10/D48)-Inputs!$C$24)^2+Inputs!$C$25^2)))/Inputs!$C$13)+$C$40/100,0.01)*SQRT($C$41))),$C$10*NORMSDIST((MAX(SQRT((Inputs!$C$21+Inputs!$C$22*(Inputs!$C$23*(LN($C$10/D48)-Inputs!$C$24)+SQRT((LN($C$10/D48)-Inputs!$C$24)^2+Inputs!$C$25^2)))/Inputs!$C$13)+$C$40/100,0.01)*SQRT($C$41))-(LN(D48/$C$10)+(MAX(SQRT((Inputs!$C$21+Inputs!$C$22*(Inputs!$C$23*(LN($C$10/D48)-Inputs!$C$24)+SQRT((LN($C$10/D48)-Inputs!$C$24)^2+Inputs!$C$25^2)))/Inputs!$C$13)+$C$40/100,0.01)*SQRT($C$41))^2/2)/(MAX(SQRT((Inputs!$C$21+Inputs!$C$22*(Inputs!$C$23*(LN($C$10/D48)-Inputs!$C$24)+SQRT((LN($C$10/D48)-Inputs!$C$24)^2+Inputs!$C$25^2)))/Inputs!$C$13)+$C$40/100,0.01)*SQRT($C$41)))-D48*NORMSDIST(-(LN(D48/$C$10)+(MAX(SQRT((Inputs!$C$21+Inputs!$C$22*(Inputs!$C$23*(LN($C$10/D48)-Inputs!$C$24)+SQRT((LN($C$10/D48)-Inputs!$C$24)^2+Inputs!$C$25^2)))/Inputs!$C$13)+$C$40/100,0.01)*SQRT($C$41))^2/2)/(MAX(SQRT((Inputs!$C$21+Inputs!$C$22*(Inputs!$C$23*(LN($C$10/D48)-Inputs!$C$24)+SQRT((LN($C$10/D48)-Inputs!$C$24)^2+Inputs!$C$25^2)))/Inputs!$C$13)+$C$40/100,0.01)*SQRT($C$41))))*$E$10</f>
        <v>-3.22198824391293</v>
      </c>
      <c r="G48" s="17" t="n">
        <f aca="false">EXP(-Inputs!$C$15*$C$41)*IF($D$11="C",D48*NORMSDIST((LN(D48/$C$11)+(MAX(SQRT((Inputs!$C$21+Inputs!$C$22*(Inputs!$C$23*(LN($C$11/D48)-Inputs!$C$24)+SQRT((LN($C$11/D48)-Inputs!$C$24)^2+Inputs!$C$25^2)))/Inputs!$C$13)+$C$40/100,0.01)*SQRT($C$41))^2/2)/(MAX(SQRT((Inputs!$C$21+Inputs!$C$22*(Inputs!$C$23*(LN($C$11/D48)-Inputs!$C$24)+SQRT((LN($C$11/D48)-Inputs!$C$24)^2+Inputs!$C$25^2)))/Inputs!$C$13)+$C$40/100,0.01)*SQRT($C$41)))-$C$11*NORMSDIST((LN(D48/$C$11)+(MAX(SQRT((Inputs!$C$21+Inputs!$C$22*(Inputs!$C$23*(LN($C$11/D48)-Inputs!$C$24)+SQRT((LN($C$11/D48)-Inputs!$C$24)^2+Inputs!$C$25^2)))/Inputs!$C$13)+$C$40/100,0.01)*SQRT($C$41))^2/2)/(MAX(SQRT((Inputs!$C$21+Inputs!$C$22*(Inputs!$C$23*(LN($C$11/D48)-Inputs!$C$24)+SQRT((LN($C$11/D48)-Inputs!$C$24)^2+Inputs!$C$25^2)))/Inputs!$C$13)+$C$40/100,0.01)*SQRT($C$41))-(MAX(SQRT((Inputs!$C$21+Inputs!$C$22*(Inputs!$C$23*(LN($C$11/D48)-Inputs!$C$24)+SQRT((LN($C$11/D48)-Inputs!$C$24)^2+Inputs!$C$25^2)))/Inputs!$C$13)+$C$40/100,0.01)*SQRT($C$41))),$C$11*NORMSDIST((MAX(SQRT((Inputs!$C$21+Inputs!$C$22*(Inputs!$C$23*(LN($C$11/D48)-Inputs!$C$24)+SQRT((LN($C$11/D48)-Inputs!$C$24)^2+Inputs!$C$25^2)))/Inputs!$C$13)+$C$40/100,0.01)*SQRT($C$41))-(LN(D48/$C$11)+(MAX(SQRT((Inputs!$C$21+Inputs!$C$22*(Inputs!$C$23*(LN($C$11/D48)-Inputs!$C$24)+SQRT((LN($C$11/D48)-Inputs!$C$24)^2+Inputs!$C$25^2)))/Inputs!$C$13)+$C$40/100,0.01)*SQRT($C$41))^2/2)/(MAX(SQRT((Inputs!$C$21+Inputs!$C$22*(Inputs!$C$23*(LN($C$11/D48)-Inputs!$C$24)+SQRT((LN($C$11/D48)-Inputs!$C$24)^2+Inputs!$C$25^2)))/Inputs!$C$13)+$C$40/100,0.01)*SQRT($C$41)))-D48*NORMSDIST(-(LN(D48/$C$11)+(MAX(SQRT((Inputs!$C$21+Inputs!$C$22*(Inputs!$C$23*(LN($C$11/D48)-Inputs!$C$24)+SQRT((LN($C$11/D48)-Inputs!$C$24)^2+Inputs!$C$25^2)))/Inputs!$C$13)+$C$40/100,0.01)*SQRT($C$41))^2/2)/(MAX(SQRT((Inputs!$C$21+Inputs!$C$22*(Inputs!$C$23*(LN($C$11/D48)-Inputs!$C$24)+SQRT((LN($C$11/D48)-Inputs!$C$24)^2+Inputs!$C$25^2)))/Inputs!$C$13)+$C$40/100,0.01)*SQRT($C$41))))*$E$11</f>
        <v>0</v>
      </c>
      <c r="H48" s="17" t="n">
        <f aca="false">E48+F48+G48</f>
        <v>51.587049718553</v>
      </c>
      <c r="I48" s="33" t="n">
        <f aca="false">Inputs!$C$28*(1+Inputs!$C$29*B48)/1000000</f>
        <v>437.5</v>
      </c>
      <c r="J48" s="33" t="n">
        <f aca="false">(H48-Pricer!$D$23)*Inputs!$C$31*Inputs!$C$30/1000000</f>
        <v>44.7016081042242</v>
      </c>
      <c r="K48" s="33" t="n">
        <f aca="false">I48+J48</f>
        <v>482.201608104224</v>
      </c>
      <c r="L48" s="33" t="n">
        <f aca="false">K48-I48</f>
        <v>44.7016081042242</v>
      </c>
    </row>
    <row r="49" customFormat="false" ht="15" hidden="false" customHeight="false" outlineLevel="0" collapsed="false">
      <c r="B49" s="47" t="n">
        <v>-0.1</v>
      </c>
      <c r="C49" s="17" t="n">
        <f aca="false">Inputs!$C$14*(1+B49)</f>
        <v>505.22058</v>
      </c>
      <c r="D49" s="17" t="n">
        <f aca="false">C49*EXP((Inputs!$C$15-Inputs!$C$16)*$C$41)</f>
        <v>507.391583861553</v>
      </c>
      <c r="E49" s="17" t="n">
        <f aca="false">EXP(-Inputs!$C$15*$C$41)*IF($D$9="C",D49*NORMSDIST((LN(D49/$C$9)+(MAX(SQRT((Inputs!$C$21+Inputs!$C$22*(Inputs!$C$23*(LN($C$9/D49)-Inputs!$C$24)+SQRT((LN($C$9/D49)-Inputs!$C$24)^2+Inputs!$C$25^2)))/Inputs!$C$13)+$C$40/100,0.01)*SQRT($C$41))^2/2)/(MAX(SQRT((Inputs!$C$21+Inputs!$C$22*(Inputs!$C$23*(LN($C$9/D49)-Inputs!$C$24)+SQRT((LN($C$9/D49)-Inputs!$C$24)^2+Inputs!$C$25^2)))/Inputs!$C$13)+$C$40/100,0.01)*SQRT($C$41)))-$C$9*NORMSDIST((LN(D49/$C$9)+(MAX(SQRT((Inputs!$C$21+Inputs!$C$22*(Inputs!$C$23*(LN($C$9/D49)-Inputs!$C$24)+SQRT((LN($C$9/D49)-Inputs!$C$24)^2+Inputs!$C$25^2)))/Inputs!$C$13)+$C$40/100,0.01)*SQRT($C$41))^2/2)/(MAX(SQRT((Inputs!$C$21+Inputs!$C$22*(Inputs!$C$23*(LN($C$9/D49)-Inputs!$C$24)+SQRT((LN($C$9/D49)-Inputs!$C$24)^2+Inputs!$C$25^2)))/Inputs!$C$13)+$C$40/100,0.01)*SQRT($C$41))-(MAX(SQRT((Inputs!$C$21+Inputs!$C$22*(Inputs!$C$23*(LN($C$9/D49)-Inputs!$C$24)+SQRT((LN($C$9/D49)-Inputs!$C$24)^2+Inputs!$C$25^2)))/Inputs!$C$13)+$C$40/100,0.01)*SQRT($C$41))),$C$9*NORMSDIST((MAX(SQRT((Inputs!$C$21+Inputs!$C$22*(Inputs!$C$23*(LN($C$9/D49)-Inputs!$C$24)+SQRT((LN($C$9/D49)-Inputs!$C$24)^2+Inputs!$C$25^2)))/Inputs!$C$13)+$C$40/100,0.01)*SQRT($C$41))-(LN(D49/$C$9)+(MAX(SQRT((Inputs!$C$21+Inputs!$C$22*(Inputs!$C$23*(LN($C$9/D49)-Inputs!$C$24)+SQRT((LN($C$9/D49)-Inputs!$C$24)^2+Inputs!$C$25^2)))/Inputs!$C$13)+$C$40/100,0.01)*SQRT($C$41))^2/2)/(MAX(SQRT((Inputs!$C$21+Inputs!$C$22*(Inputs!$C$23*(LN($C$9/D49)-Inputs!$C$24)+SQRT((LN($C$9/D49)-Inputs!$C$24)^2+Inputs!$C$25^2)))/Inputs!$C$13)+$C$40/100,0.01)*SQRT($C$41)))-D49*NORMSDIST(-(LN(D49/$C$9)+(MAX(SQRT((Inputs!$C$21+Inputs!$C$22*(Inputs!$C$23*(LN($C$9/D49)-Inputs!$C$24)+SQRT((LN($C$9/D49)-Inputs!$C$24)^2+Inputs!$C$25^2)))/Inputs!$C$13)+$C$40/100,0.01)*SQRT($C$41))^2/2)/(MAX(SQRT((Inputs!$C$21+Inputs!$C$22*(Inputs!$C$23*(LN($C$9/D49)-Inputs!$C$24)+SQRT((LN($C$9/D49)-Inputs!$C$24)^2+Inputs!$C$25^2)))/Inputs!$C$13)+$C$40/100,0.01)*SQRT($C$41))))*$E$9</f>
        <v>45.5468753159044</v>
      </c>
      <c r="F49" s="17" t="n">
        <f aca="false">EXP(-Inputs!$C$15*$C$41)*IF($D$10="C",D49*NORMSDIST((LN(D49/$C$10)+(MAX(SQRT((Inputs!$C$21+Inputs!$C$22*(Inputs!$C$23*(LN($C$10/D49)-Inputs!$C$24)+SQRT((LN($C$10/D49)-Inputs!$C$24)^2+Inputs!$C$25^2)))/Inputs!$C$13)+$C$40/100,0.01)*SQRT($C$41))^2/2)/(MAX(SQRT((Inputs!$C$21+Inputs!$C$22*(Inputs!$C$23*(LN($C$10/D49)-Inputs!$C$24)+SQRT((LN($C$10/D49)-Inputs!$C$24)^2+Inputs!$C$25^2)))/Inputs!$C$13)+$C$40/100,0.01)*SQRT($C$41)))-$C$10*NORMSDIST((LN(D49/$C$10)+(MAX(SQRT((Inputs!$C$21+Inputs!$C$22*(Inputs!$C$23*(LN($C$10/D49)-Inputs!$C$24)+SQRT((LN($C$10/D49)-Inputs!$C$24)^2+Inputs!$C$25^2)))/Inputs!$C$13)+$C$40/100,0.01)*SQRT($C$41))^2/2)/(MAX(SQRT((Inputs!$C$21+Inputs!$C$22*(Inputs!$C$23*(LN($C$10/D49)-Inputs!$C$24)+SQRT((LN($C$10/D49)-Inputs!$C$24)^2+Inputs!$C$25^2)))/Inputs!$C$13)+$C$40/100,0.01)*SQRT($C$41))-(MAX(SQRT((Inputs!$C$21+Inputs!$C$22*(Inputs!$C$23*(LN($C$10/D49)-Inputs!$C$24)+SQRT((LN($C$10/D49)-Inputs!$C$24)^2+Inputs!$C$25^2)))/Inputs!$C$13)+$C$40/100,0.01)*SQRT($C$41))),$C$10*NORMSDIST((MAX(SQRT((Inputs!$C$21+Inputs!$C$22*(Inputs!$C$23*(LN($C$10/D49)-Inputs!$C$24)+SQRT((LN($C$10/D49)-Inputs!$C$24)^2+Inputs!$C$25^2)))/Inputs!$C$13)+$C$40/100,0.01)*SQRT($C$41))-(LN(D49/$C$10)+(MAX(SQRT((Inputs!$C$21+Inputs!$C$22*(Inputs!$C$23*(LN($C$10/D49)-Inputs!$C$24)+SQRT((LN($C$10/D49)-Inputs!$C$24)^2+Inputs!$C$25^2)))/Inputs!$C$13)+$C$40/100,0.01)*SQRT($C$41))^2/2)/(MAX(SQRT((Inputs!$C$21+Inputs!$C$22*(Inputs!$C$23*(LN($C$10/D49)-Inputs!$C$24)+SQRT((LN($C$10/D49)-Inputs!$C$24)^2+Inputs!$C$25^2)))/Inputs!$C$13)+$C$40/100,0.01)*SQRT($C$41)))-D49*NORMSDIST(-(LN(D49/$C$10)+(MAX(SQRT((Inputs!$C$21+Inputs!$C$22*(Inputs!$C$23*(LN($C$10/D49)-Inputs!$C$24)+SQRT((LN($C$10/D49)-Inputs!$C$24)^2+Inputs!$C$25^2)))/Inputs!$C$13)+$C$40/100,0.01)*SQRT($C$41))^2/2)/(MAX(SQRT((Inputs!$C$21+Inputs!$C$22*(Inputs!$C$23*(LN($C$10/D49)-Inputs!$C$24)+SQRT((LN($C$10/D49)-Inputs!$C$24)^2+Inputs!$C$25^2)))/Inputs!$C$13)+$C$40/100,0.01)*SQRT($C$41))))*$E$10</f>
        <v>-4.78438398726828</v>
      </c>
      <c r="G49" s="17" t="n">
        <f aca="false">EXP(-Inputs!$C$15*$C$41)*IF($D$11="C",D49*NORMSDIST((LN(D49/$C$11)+(MAX(SQRT((Inputs!$C$21+Inputs!$C$22*(Inputs!$C$23*(LN($C$11/D49)-Inputs!$C$24)+SQRT((LN($C$11/D49)-Inputs!$C$24)^2+Inputs!$C$25^2)))/Inputs!$C$13)+$C$40/100,0.01)*SQRT($C$41))^2/2)/(MAX(SQRT((Inputs!$C$21+Inputs!$C$22*(Inputs!$C$23*(LN($C$11/D49)-Inputs!$C$24)+SQRT((LN($C$11/D49)-Inputs!$C$24)^2+Inputs!$C$25^2)))/Inputs!$C$13)+$C$40/100,0.01)*SQRT($C$41)))-$C$11*NORMSDIST((LN(D49/$C$11)+(MAX(SQRT((Inputs!$C$21+Inputs!$C$22*(Inputs!$C$23*(LN($C$11/D49)-Inputs!$C$24)+SQRT((LN($C$11/D49)-Inputs!$C$24)^2+Inputs!$C$25^2)))/Inputs!$C$13)+$C$40/100,0.01)*SQRT($C$41))^2/2)/(MAX(SQRT((Inputs!$C$21+Inputs!$C$22*(Inputs!$C$23*(LN($C$11/D49)-Inputs!$C$24)+SQRT((LN($C$11/D49)-Inputs!$C$24)^2+Inputs!$C$25^2)))/Inputs!$C$13)+$C$40/100,0.01)*SQRT($C$41))-(MAX(SQRT((Inputs!$C$21+Inputs!$C$22*(Inputs!$C$23*(LN($C$11/D49)-Inputs!$C$24)+SQRT((LN($C$11/D49)-Inputs!$C$24)^2+Inputs!$C$25^2)))/Inputs!$C$13)+$C$40/100,0.01)*SQRT($C$41))),$C$11*NORMSDIST((MAX(SQRT((Inputs!$C$21+Inputs!$C$22*(Inputs!$C$23*(LN($C$11/D49)-Inputs!$C$24)+SQRT((LN($C$11/D49)-Inputs!$C$24)^2+Inputs!$C$25^2)))/Inputs!$C$13)+$C$40/100,0.01)*SQRT($C$41))-(LN(D49/$C$11)+(MAX(SQRT((Inputs!$C$21+Inputs!$C$22*(Inputs!$C$23*(LN($C$11/D49)-Inputs!$C$24)+SQRT((LN($C$11/D49)-Inputs!$C$24)^2+Inputs!$C$25^2)))/Inputs!$C$13)+$C$40/100,0.01)*SQRT($C$41))^2/2)/(MAX(SQRT((Inputs!$C$21+Inputs!$C$22*(Inputs!$C$23*(LN($C$11/D49)-Inputs!$C$24)+SQRT((LN($C$11/D49)-Inputs!$C$24)^2+Inputs!$C$25^2)))/Inputs!$C$13)+$C$40/100,0.01)*SQRT($C$41)))-D49*NORMSDIST(-(LN(D49/$C$11)+(MAX(SQRT((Inputs!$C$21+Inputs!$C$22*(Inputs!$C$23*(LN($C$11/D49)-Inputs!$C$24)+SQRT((LN($C$11/D49)-Inputs!$C$24)^2+Inputs!$C$25^2)))/Inputs!$C$13)+$C$40/100,0.01)*SQRT($C$41))^2/2)/(MAX(SQRT((Inputs!$C$21+Inputs!$C$22*(Inputs!$C$23*(LN($C$11/D49)-Inputs!$C$24)+SQRT((LN($C$11/D49)-Inputs!$C$24)^2+Inputs!$C$25^2)))/Inputs!$C$13)+$C$40/100,0.01)*SQRT($C$41))))*$E$11</f>
        <v>0</v>
      </c>
      <c r="H49" s="17" t="n">
        <f aca="false">E49+F49+G49</f>
        <v>40.7624913286361</v>
      </c>
      <c r="I49" s="33" t="n">
        <f aca="false">Inputs!$C$28*(1+Inputs!$C$29*B49)/1000000</f>
        <v>450</v>
      </c>
      <c r="J49" s="33" t="n">
        <f aca="false">(H49-Pricer!$D$23)*Inputs!$C$31*Inputs!$C$30/1000000</f>
        <v>35.0601733165467</v>
      </c>
      <c r="K49" s="33" t="n">
        <f aca="false">I49+J49</f>
        <v>485.060173316547</v>
      </c>
      <c r="L49" s="33" t="n">
        <f aca="false">K49-I49</f>
        <v>35.0601733165467</v>
      </c>
    </row>
    <row r="50" customFormat="false" ht="15" hidden="false" customHeight="false" outlineLevel="0" collapsed="false">
      <c r="B50" s="47" t="n">
        <v>-0.075</v>
      </c>
      <c r="C50" s="17" t="n">
        <f aca="false">Inputs!$C$14*(1+B50)</f>
        <v>519.254485</v>
      </c>
      <c r="D50" s="17" t="n">
        <f aca="false">C50*EXP((Inputs!$C$15-Inputs!$C$16)*$C$41)</f>
        <v>521.485794524374</v>
      </c>
      <c r="E50" s="17" t="n">
        <f aca="false">EXP(-Inputs!$C$15*$C$41)*IF($D$9="C",D50*NORMSDIST((LN(D50/$C$9)+(MAX(SQRT((Inputs!$C$21+Inputs!$C$22*(Inputs!$C$23*(LN($C$9/D50)-Inputs!$C$24)+SQRT((LN($C$9/D50)-Inputs!$C$24)^2+Inputs!$C$25^2)))/Inputs!$C$13)+$C$40/100,0.01)*SQRT($C$41))^2/2)/(MAX(SQRT((Inputs!$C$21+Inputs!$C$22*(Inputs!$C$23*(LN($C$9/D50)-Inputs!$C$24)+SQRT((LN($C$9/D50)-Inputs!$C$24)^2+Inputs!$C$25^2)))/Inputs!$C$13)+$C$40/100,0.01)*SQRT($C$41)))-$C$9*NORMSDIST((LN(D50/$C$9)+(MAX(SQRT((Inputs!$C$21+Inputs!$C$22*(Inputs!$C$23*(LN($C$9/D50)-Inputs!$C$24)+SQRT((LN($C$9/D50)-Inputs!$C$24)^2+Inputs!$C$25^2)))/Inputs!$C$13)+$C$40/100,0.01)*SQRT($C$41))^2/2)/(MAX(SQRT((Inputs!$C$21+Inputs!$C$22*(Inputs!$C$23*(LN($C$9/D50)-Inputs!$C$24)+SQRT((LN($C$9/D50)-Inputs!$C$24)^2+Inputs!$C$25^2)))/Inputs!$C$13)+$C$40/100,0.01)*SQRT($C$41))-(MAX(SQRT((Inputs!$C$21+Inputs!$C$22*(Inputs!$C$23*(LN($C$9/D50)-Inputs!$C$24)+SQRT((LN($C$9/D50)-Inputs!$C$24)^2+Inputs!$C$25^2)))/Inputs!$C$13)+$C$40/100,0.01)*SQRT($C$41))),$C$9*NORMSDIST((MAX(SQRT((Inputs!$C$21+Inputs!$C$22*(Inputs!$C$23*(LN($C$9/D50)-Inputs!$C$24)+SQRT((LN($C$9/D50)-Inputs!$C$24)^2+Inputs!$C$25^2)))/Inputs!$C$13)+$C$40/100,0.01)*SQRT($C$41))-(LN(D50/$C$9)+(MAX(SQRT((Inputs!$C$21+Inputs!$C$22*(Inputs!$C$23*(LN($C$9/D50)-Inputs!$C$24)+SQRT((LN($C$9/D50)-Inputs!$C$24)^2+Inputs!$C$25^2)))/Inputs!$C$13)+$C$40/100,0.01)*SQRT($C$41))^2/2)/(MAX(SQRT((Inputs!$C$21+Inputs!$C$22*(Inputs!$C$23*(LN($C$9/D50)-Inputs!$C$24)+SQRT((LN($C$9/D50)-Inputs!$C$24)^2+Inputs!$C$25^2)))/Inputs!$C$13)+$C$40/100,0.01)*SQRT($C$41)))-D50*NORMSDIST(-(LN(D50/$C$9)+(MAX(SQRT((Inputs!$C$21+Inputs!$C$22*(Inputs!$C$23*(LN($C$9/D50)-Inputs!$C$24)+SQRT((LN($C$9/D50)-Inputs!$C$24)^2+Inputs!$C$25^2)))/Inputs!$C$13)+$C$40/100,0.01)*SQRT($C$41))^2/2)/(MAX(SQRT((Inputs!$C$21+Inputs!$C$22*(Inputs!$C$23*(LN($C$9/D50)-Inputs!$C$24)+SQRT((LN($C$9/D50)-Inputs!$C$24)^2+Inputs!$C$25^2)))/Inputs!$C$13)+$C$40/100,0.01)*SQRT($C$41))))*$E$9</f>
        <v>37.8058094796748</v>
      </c>
      <c r="F50" s="17" t="n">
        <f aca="false">EXP(-Inputs!$C$15*$C$41)*IF($D$10="C",D50*NORMSDIST((LN(D50/$C$10)+(MAX(SQRT((Inputs!$C$21+Inputs!$C$22*(Inputs!$C$23*(LN($C$10/D50)-Inputs!$C$24)+SQRT((LN($C$10/D50)-Inputs!$C$24)^2+Inputs!$C$25^2)))/Inputs!$C$13)+$C$40/100,0.01)*SQRT($C$41))^2/2)/(MAX(SQRT((Inputs!$C$21+Inputs!$C$22*(Inputs!$C$23*(LN($C$10/D50)-Inputs!$C$24)+SQRT((LN($C$10/D50)-Inputs!$C$24)^2+Inputs!$C$25^2)))/Inputs!$C$13)+$C$40/100,0.01)*SQRT($C$41)))-$C$10*NORMSDIST((LN(D50/$C$10)+(MAX(SQRT((Inputs!$C$21+Inputs!$C$22*(Inputs!$C$23*(LN($C$10/D50)-Inputs!$C$24)+SQRT((LN($C$10/D50)-Inputs!$C$24)^2+Inputs!$C$25^2)))/Inputs!$C$13)+$C$40/100,0.01)*SQRT($C$41))^2/2)/(MAX(SQRT((Inputs!$C$21+Inputs!$C$22*(Inputs!$C$23*(LN($C$10/D50)-Inputs!$C$24)+SQRT((LN($C$10/D50)-Inputs!$C$24)^2+Inputs!$C$25^2)))/Inputs!$C$13)+$C$40/100,0.01)*SQRT($C$41))-(MAX(SQRT((Inputs!$C$21+Inputs!$C$22*(Inputs!$C$23*(LN($C$10/D50)-Inputs!$C$24)+SQRT((LN($C$10/D50)-Inputs!$C$24)^2+Inputs!$C$25^2)))/Inputs!$C$13)+$C$40/100,0.01)*SQRT($C$41))),$C$10*NORMSDIST((MAX(SQRT((Inputs!$C$21+Inputs!$C$22*(Inputs!$C$23*(LN($C$10/D50)-Inputs!$C$24)+SQRT((LN($C$10/D50)-Inputs!$C$24)^2+Inputs!$C$25^2)))/Inputs!$C$13)+$C$40/100,0.01)*SQRT($C$41))-(LN(D50/$C$10)+(MAX(SQRT((Inputs!$C$21+Inputs!$C$22*(Inputs!$C$23*(LN($C$10/D50)-Inputs!$C$24)+SQRT((LN($C$10/D50)-Inputs!$C$24)^2+Inputs!$C$25^2)))/Inputs!$C$13)+$C$40/100,0.01)*SQRT($C$41))^2/2)/(MAX(SQRT((Inputs!$C$21+Inputs!$C$22*(Inputs!$C$23*(LN($C$10/D50)-Inputs!$C$24)+SQRT((LN($C$10/D50)-Inputs!$C$24)^2+Inputs!$C$25^2)))/Inputs!$C$13)+$C$40/100,0.01)*SQRT($C$41)))-D50*NORMSDIST(-(LN(D50/$C$10)+(MAX(SQRT((Inputs!$C$21+Inputs!$C$22*(Inputs!$C$23*(LN($C$10/D50)-Inputs!$C$24)+SQRT((LN($C$10/D50)-Inputs!$C$24)^2+Inputs!$C$25^2)))/Inputs!$C$13)+$C$40/100,0.01)*SQRT($C$41))^2/2)/(MAX(SQRT((Inputs!$C$21+Inputs!$C$22*(Inputs!$C$23*(LN($C$10/D50)-Inputs!$C$24)+SQRT((LN($C$10/D50)-Inputs!$C$24)^2+Inputs!$C$25^2)))/Inputs!$C$13)+$C$40/100,0.01)*SQRT($C$41))))*$E$10</f>
        <v>-7.19114146765114</v>
      </c>
      <c r="G50" s="17" t="n">
        <f aca="false">EXP(-Inputs!$C$15*$C$41)*IF($D$11="C",D50*NORMSDIST((LN(D50/$C$11)+(MAX(SQRT((Inputs!$C$21+Inputs!$C$22*(Inputs!$C$23*(LN($C$11/D50)-Inputs!$C$24)+SQRT((LN($C$11/D50)-Inputs!$C$24)^2+Inputs!$C$25^2)))/Inputs!$C$13)+$C$40/100,0.01)*SQRT($C$41))^2/2)/(MAX(SQRT((Inputs!$C$21+Inputs!$C$22*(Inputs!$C$23*(LN($C$11/D50)-Inputs!$C$24)+SQRT((LN($C$11/D50)-Inputs!$C$24)^2+Inputs!$C$25^2)))/Inputs!$C$13)+$C$40/100,0.01)*SQRT($C$41)))-$C$11*NORMSDIST((LN(D50/$C$11)+(MAX(SQRT((Inputs!$C$21+Inputs!$C$22*(Inputs!$C$23*(LN($C$11/D50)-Inputs!$C$24)+SQRT((LN($C$11/D50)-Inputs!$C$24)^2+Inputs!$C$25^2)))/Inputs!$C$13)+$C$40/100,0.01)*SQRT($C$41))^2/2)/(MAX(SQRT((Inputs!$C$21+Inputs!$C$22*(Inputs!$C$23*(LN($C$11/D50)-Inputs!$C$24)+SQRT((LN($C$11/D50)-Inputs!$C$24)^2+Inputs!$C$25^2)))/Inputs!$C$13)+$C$40/100,0.01)*SQRT($C$41))-(MAX(SQRT((Inputs!$C$21+Inputs!$C$22*(Inputs!$C$23*(LN($C$11/D50)-Inputs!$C$24)+SQRT((LN($C$11/D50)-Inputs!$C$24)^2+Inputs!$C$25^2)))/Inputs!$C$13)+$C$40/100,0.01)*SQRT($C$41))),$C$11*NORMSDIST((MAX(SQRT((Inputs!$C$21+Inputs!$C$22*(Inputs!$C$23*(LN($C$11/D50)-Inputs!$C$24)+SQRT((LN($C$11/D50)-Inputs!$C$24)^2+Inputs!$C$25^2)))/Inputs!$C$13)+$C$40/100,0.01)*SQRT($C$41))-(LN(D50/$C$11)+(MAX(SQRT((Inputs!$C$21+Inputs!$C$22*(Inputs!$C$23*(LN($C$11/D50)-Inputs!$C$24)+SQRT((LN($C$11/D50)-Inputs!$C$24)^2+Inputs!$C$25^2)))/Inputs!$C$13)+$C$40/100,0.01)*SQRT($C$41))^2/2)/(MAX(SQRT((Inputs!$C$21+Inputs!$C$22*(Inputs!$C$23*(LN($C$11/D50)-Inputs!$C$24)+SQRT((LN($C$11/D50)-Inputs!$C$24)^2+Inputs!$C$25^2)))/Inputs!$C$13)+$C$40/100,0.01)*SQRT($C$41)))-D50*NORMSDIST(-(LN(D50/$C$11)+(MAX(SQRT((Inputs!$C$21+Inputs!$C$22*(Inputs!$C$23*(LN($C$11/D50)-Inputs!$C$24)+SQRT((LN($C$11/D50)-Inputs!$C$24)^2+Inputs!$C$25^2)))/Inputs!$C$13)+$C$40/100,0.01)*SQRT($C$41))^2/2)/(MAX(SQRT((Inputs!$C$21+Inputs!$C$22*(Inputs!$C$23*(LN($C$11/D50)-Inputs!$C$24)+SQRT((LN($C$11/D50)-Inputs!$C$24)^2+Inputs!$C$25^2)))/Inputs!$C$13)+$C$40/100,0.01)*SQRT($C$41))))*$E$11</f>
        <v>0</v>
      </c>
      <c r="H50" s="17" t="n">
        <f aca="false">E50+F50+G50</f>
        <v>30.6146680120237</v>
      </c>
      <c r="I50" s="33" t="n">
        <f aca="false">Inputs!$C$28*(1+Inputs!$C$29*B50)/1000000</f>
        <v>462.5</v>
      </c>
      <c r="J50" s="33" t="n">
        <f aca="false">(H50-Pricer!$D$23)*Inputs!$C$31*Inputs!$C$30/1000000</f>
        <v>26.0215064980343</v>
      </c>
      <c r="K50" s="33" t="n">
        <f aca="false">I50+J50</f>
        <v>488.521506498034</v>
      </c>
      <c r="L50" s="33" t="n">
        <f aca="false">K50-I50</f>
        <v>26.0215064980343</v>
      </c>
    </row>
    <row r="51" customFormat="false" ht="15" hidden="false" customHeight="false" outlineLevel="0" collapsed="false">
      <c r="B51" s="47" t="n">
        <v>-0.05</v>
      </c>
      <c r="C51" s="17" t="n">
        <f aca="false">Inputs!$C$14*(1+B51)</f>
        <v>533.28839</v>
      </c>
      <c r="D51" s="17" t="n">
        <f aca="false">C51*EXP((Inputs!$C$15-Inputs!$C$16)*$C$41)</f>
        <v>535.580005187195</v>
      </c>
      <c r="E51" s="17" t="n">
        <f aca="false">EXP(-Inputs!$C$15*$C$41)*IF($D$9="C",D51*NORMSDIST((LN(D51/$C$9)+(MAX(SQRT((Inputs!$C$21+Inputs!$C$22*(Inputs!$C$23*(LN($C$9/D51)-Inputs!$C$24)+SQRT((LN($C$9/D51)-Inputs!$C$24)^2+Inputs!$C$25^2)))/Inputs!$C$13)+$C$40/100,0.01)*SQRT($C$41))^2/2)/(MAX(SQRT((Inputs!$C$21+Inputs!$C$22*(Inputs!$C$23*(LN($C$9/D51)-Inputs!$C$24)+SQRT((LN($C$9/D51)-Inputs!$C$24)^2+Inputs!$C$25^2)))/Inputs!$C$13)+$C$40/100,0.01)*SQRT($C$41)))-$C$9*NORMSDIST((LN(D51/$C$9)+(MAX(SQRT((Inputs!$C$21+Inputs!$C$22*(Inputs!$C$23*(LN($C$9/D51)-Inputs!$C$24)+SQRT((LN($C$9/D51)-Inputs!$C$24)^2+Inputs!$C$25^2)))/Inputs!$C$13)+$C$40/100,0.01)*SQRT($C$41))^2/2)/(MAX(SQRT((Inputs!$C$21+Inputs!$C$22*(Inputs!$C$23*(LN($C$9/D51)-Inputs!$C$24)+SQRT((LN($C$9/D51)-Inputs!$C$24)^2+Inputs!$C$25^2)))/Inputs!$C$13)+$C$40/100,0.01)*SQRT($C$41))-(MAX(SQRT((Inputs!$C$21+Inputs!$C$22*(Inputs!$C$23*(LN($C$9/D51)-Inputs!$C$24)+SQRT((LN($C$9/D51)-Inputs!$C$24)^2+Inputs!$C$25^2)))/Inputs!$C$13)+$C$40/100,0.01)*SQRT($C$41))),$C$9*NORMSDIST((MAX(SQRT((Inputs!$C$21+Inputs!$C$22*(Inputs!$C$23*(LN($C$9/D51)-Inputs!$C$24)+SQRT((LN($C$9/D51)-Inputs!$C$24)^2+Inputs!$C$25^2)))/Inputs!$C$13)+$C$40/100,0.01)*SQRT($C$41))-(LN(D51/$C$9)+(MAX(SQRT((Inputs!$C$21+Inputs!$C$22*(Inputs!$C$23*(LN($C$9/D51)-Inputs!$C$24)+SQRT((LN($C$9/D51)-Inputs!$C$24)^2+Inputs!$C$25^2)))/Inputs!$C$13)+$C$40/100,0.01)*SQRT($C$41))^2/2)/(MAX(SQRT((Inputs!$C$21+Inputs!$C$22*(Inputs!$C$23*(LN($C$9/D51)-Inputs!$C$24)+SQRT((LN($C$9/D51)-Inputs!$C$24)^2+Inputs!$C$25^2)))/Inputs!$C$13)+$C$40/100,0.01)*SQRT($C$41)))-D51*NORMSDIST(-(LN(D51/$C$9)+(MAX(SQRT((Inputs!$C$21+Inputs!$C$22*(Inputs!$C$23*(LN($C$9/D51)-Inputs!$C$24)+SQRT((LN($C$9/D51)-Inputs!$C$24)^2+Inputs!$C$25^2)))/Inputs!$C$13)+$C$40/100,0.01)*SQRT($C$41))^2/2)/(MAX(SQRT((Inputs!$C$21+Inputs!$C$22*(Inputs!$C$23*(LN($C$9/D51)-Inputs!$C$24)+SQRT((LN($C$9/D51)-Inputs!$C$24)^2+Inputs!$C$25^2)))/Inputs!$C$13)+$C$40/100,0.01)*SQRT($C$41))))*$E$9</f>
        <v>31.4941710493581</v>
      </c>
      <c r="F51" s="17" t="n">
        <f aca="false">EXP(-Inputs!$C$15*$C$41)*IF($D$10="C",D51*NORMSDIST((LN(D51/$C$10)+(MAX(SQRT((Inputs!$C$21+Inputs!$C$22*(Inputs!$C$23*(LN($C$10/D51)-Inputs!$C$24)+SQRT((LN($C$10/D51)-Inputs!$C$24)^2+Inputs!$C$25^2)))/Inputs!$C$13)+$C$40/100,0.01)*SQRT($C$41))^2/2)/(MAX(SQRT((Inputs!$C$21+Inputs!$C$22*(Inputs!$C$23*(LN($C$10/D51)-Inputs!$C$24)+SQRT((LN($C$10/D51)-Inputs!$C$24)^2+Inputs!$C$25^2)))/Inputs!$C$13)+$C$40/100,0.01)*SQRT($C$41)))-$C$10*NORMSDIST((LN(D51/$C$10)+(MAX(SQRT((Inputs!$C$21+Inputs!$C$22*(Inputs!$C$23*(LN($C$10/D51)-Inputs!$C$24)+SQRT((LN($C$10/D51)-Inputs!$C$24)^2+Inputs!$C$25^2)))/Inputs!$C$13)+$C$40/100,0.01)*SQRT($C$41))^2/2)/(MAX(SQRT((Inputs!$C$21+Inputs!$C$22*(Inputs!$C$23*(LN($C$10/D51)-Inputs!$C$24)+SQRT((LN($C$10/D51)-Inputs!$C$24)^2+Inputs!$C$25^2)))/Inputs!$C$13)+$C$40/100,0.01)*SQRT($C$41))-(MAX(SQRT((Inputs!$C$21+Inputs!$C$22*(Inputs!$C$23*(LN($C$10/D51)-Inputs!$C$24)+SQRT((LN($C$10/D51)-Inputs!$C$24)^2+Inputs!$C$25^2)))/Inputs!$C$13)+$C$40/100,0.01)*SQRT($C$41))),$C$10*NORMSDIST((MAX(SQRT((Inputs!$C$21+Inputs!$C$22*(Inputs!$C$23*(LN($C$10/D51)-Inputs!$C$24)+SQRT((LN($C$10/D51)-Inputs!$C$24)^2+Inputs!$C$25^2)))/Inputs!$C$13)+$C$40/100,0.01)*SQRT($C$41))-(LN(D51/$C$10)+(MAX(SQRT((Inputs!$C$21+Inputs!$C$22*(Inputs!$C$23*(LN($C$10/D51)-Inputs!$C$24)+SQRT((LN($C$10/D51)-Inputs!$C$24)^2+Inputs!$C$25^2)))/Inputs!$C$13)+$C$40/100,0.01)*SQRT($C$41))^2/2)/(MAX(SQRT((Inputs!$C$21+Inputs!$C$22*(Inputs!$C$23*(LN($C$10/D51)-Inputs!$C$24)+SQRT((LN($C$10/D51)-Inputs!$C$24)^2+Inputs!$C$25^2)))/Inputs!$C$13)+$C$40/100,0.01)*SQRT($C$41)))-D51*NORMSDIST(-(LN(D51/$C$10)+(MAX(SQRT((Inputs!$C$21+Inputs!$C$22*(Inputs!$C$23*(LN($C$10/D51)-Inputs!$C$24)+SQRT((LN($C$10/D51)-Inputs!$C$24)^2+Inputs!$C$25^2)))/Inputs!$C$13)+$C$40/100,0.01)*SQRT($C$41))^2/2)/(MAX(SQRT((Inputs!$C$21+Inputs!$C$22*(Inputs!$C$23*(LN($C$10/D51)-Inputs!$C$24)+SQRT((LN($C$10/D51)-Inputs!$C$24)^2+Inputs!$C$25^2)))/Inputs!$C$13)+$C$40/100,0.01)*SQRT($C$41))))*$E$10</f>
        <v>-10.7339719565034</v>
      </c>
      <c r="G51" s="17" t="n">
        <f aca="false">EXP(-Inputs!$C$15*$C$41)*IF($D$11="C",D51*NORMSDIST((LN(D51/$C$11)+(MAX(SQRT((Inputs!$C$21+Inputs!$C$22*(Inputs!$C$23*(LN($C$11/D51)-Inputs!$C$24)+SQRT((LN($C$11/D51)-Inputs!$C$24)^2+Inputs!$C$25^2)))/Inputs!$C$13)+$C$40/100,0.01)*SQRT($C$41))^2/2)/(MAX(SQRT((Inputs!$C$21+Inputs!$C$22*(Inputs!$C$23*(LN($C$11/D51)-Inputs!$C$24)+SQRT((LN($C$11/D51)-Inputs!$C$24)^2+Inputs!$C$25^2)))/Inputs!$C$13)+$C$40/100,0.01)*SQRT($C$41)))-$C$11*NORMSDIST((LN(D51/$C$11)+(MAX(SQRT((Inputs!$C$21+Inputs!$C$22*(Inputs!$C$23*(LN($C$11/D51)-Inputs!$C$24)+SQRT((LN($C$11/D51)-Inputs!$C$24)^2+Inputs!$C$25^2)))/Inputs!$C$13)+$C$40/100,0.01)*SQRT($C$41))^2/2)/(MAX(SQRT((Inputs!$C$21+Inputs!$C$22*(Inputs!$C$23*(LN($C$11/D51)-Inputs!$C$24)+SQRT((LN($C$11/D51)-Inputs!$C$24)^2+Inputs!$C$25^2)))/Inputs!$C$13)+$C$40/100,0.01)*SQRT($C$41))-(MAX(SQRT((Inputs!$C$21+Inputs!$C$22*(Inputs!$C$23*(LN($C$11/D51)-Inputs!$C$24)+SQRT((LN($C$11/D51)-Inputs!$C$24)^2+Inputs!$C$25^2)))/Inputs!$C$13)+$C$40/100,0.01)*SQRT($C$41))),$C$11*NORMSDIST((MAX(SQRT((Inputs!$C$21+Inputs!$C$22*(Inputs!$C$23*(LN($C$11/D51)-Inputs!$C$24)+SQRT((LN($C$11/D51)-Inputs!$C$24)^2+Inputs!$C$25^2)))/Inputs!$C$13)+$C$40/100,0.01)*SQRT($C$41))-(LN(D51/$C$11)+(MAX(SQRT((Inputs!$C$21+Inputs!$C$22*(Inputs!$C$23*(LN($C$11/D51)-Inputs!$C$24)+SQRT((LN($C$11/D51)-Inputs!$C$24)^2+Inputs!$C$25^2)))/Inputs!$C$13)+$C$40/100,0.01)*SQRT($C$41))^2/2)/(MAX(SQRT((Inputs!$C$21+Inputs!$C$22*(Inputs!$C$23*(LN($C$11/D51)-Inputs!$C$24)+SQRT((LN($C$11/D51)-Inputs!$C$24)^2+Inputs!$C$25^2)))/Inputs!$C$13)+$C$40/100,0.01)*SQRT($C$41)))-D51*NORMSDIST(-(LN(D51/$C$11)+(MAX(SQRT((Inputs!$C$21+Inputs!$C$22*(Inputs!$C$23*(LN($C$11/D51)-Inputs!$C$24)+SQRT((LN($C$11/D51)-Inputs!$C$24)^2+Inputs!$C$25^2)))/Inputs!$C$13)+$C$40/100,0.01)*SQRT($C$41))^2/2)/(MAX(SQRT((Inputs!$C$21+Inputs!$C$22*(Inputs!$C$23*(LN($C$11/D51)-Inputs!$C$24)+SQRT((LN($C$11/D51)-Inputs!$C$24)^2+Inputs!$C$25^2)))/Inputs!$C$13)+$C$40/100,0.01)*SQRT($C$41))))*$E$11</f>
        <v>0</v>
      </c>
      <c r="H51" s="17" t="n">
        <f aca="false">E51+F51+G51</f>
        <v>20.7601990928547</v>
      </c>
      <c r="I51" s="33" t="n">
        <f aca="false">Inputs!$C$28*(1+Inputs!$C$29*B51)/1000000</f>
        <v>475</v>
      </c>
      <c r="J51" s="33" t="n">
        <f aca="false">(H51-Pricer!$D$23)*Inputs!$C$31*Inputs!$C$30/1000000</f>
        <v>17.2441304583923</v>
      </c>
      <c r="K51" s="33" t="n">
        <f aca="false">I51+J51</f>
        <v>492.244130458392</v>
      </c>
      <c r="L51" s="33" t="n">
        <f aca="false">K51-I51</f>
        <v>17.2441304583923</v>
      </c>
    </row>
    <row r="52" customFormat="false" ht="15" hidden="false" customHeight="false" outlineLevel="0" collapsed="false">
      <c r="B52" s="47" t="n">
        <v>-0.025</v>
      </c>
      <c r="C52" s="17" t="n">
        <f aca="false">Inputs!$C$14*(1+B52)</f>
        <v>547.322295</v>
      </c>
      <c r="D52" s="17" t="n">
        <f aca="false">C52*EXP((Inputs!$C$15-Inputs!$C$16)*$C$41)</f>
        <v>549.674215850016</v>
      </c>
      <c r="E52" s="17" t="n">
        <f aca="false">EXP(-Inputs!$C$15*$C$41)*IF($D$9="C",D52*NORMSDIST((LN(D52/$C$9)+(MAX(SQRT((Inputs!$C$21+Inputs!$C$22*(Inputs!$C$23*(LN($C$9/D52)-Inputs!$C$24)+SQRT((LN($C$9/D52)-Inputs!$C$24)^2+Inputs!$C$25^2)))/Inputs!$C$13)+$C$40/100,0.01)*SQRT($C$41))^2/2)/(MAX(SQRT((Inputs!$C$21+Inputs!$C$22*(Inputs!$C$23*(LN($C$9/D52)-Inputs!$C$24)+SQRT((LN($C$9/D52)-Inputs!$C$24)^2+Inputs!$C$25^2)))/Inputs!$C$13)+$C$40/100,0.01)*SQRT($C$41)))-$C$9*NORMSDIST((LN(D52/$C$9)+(MAX(SQRT((Inputs!$C$21+Inputs!$C$22*(Inputs!$C$23*(LN($C$9/D52)-Inputs!$C$24)+SQRT((LN($C$9/D52)-Inputs!$C$24)^2+Inputs!$C$25^2)))/Inputs!$C$13)+$C$40/100,0.01)*SQRT($C$41))^2/2)/(MAX(SQRT((Inputs!$C$21+Inputs!$C$22*(Inputs!$C$23*(LN($C$9/D52)-Inputs!$C$24)+SQRT((LN($C$9/D52)-Inputs!$C$24)^2+Inputs!$C$25^2)))/Inputs!$C$13)+$C$40/100,0.01)*SQRT($C$41))-(MAX(SQRT((Inputs!$C$21+Inputs!$C$22*(Inputs!$C$23*(LN($C$9/D52)-Inputs!$C$24)+SQRT((LN($C$9/D52)-Inputs!$C$24)^2+Inputs!$C$25^2)))/Inputs!$C$13)+$C$40/100,0.01)*SQRT($C$41))),$C$9*NORMSDIST((MAX(SQRT((Inputs!$C$21+Inputs!$C$22*(Inputs!$C$23*(LN($C$9/D52)-Inputs!$C$24)+SQRT((LN($C$9/D52)-Inputs!$C$24)^2+Inputs!$C$25^2)))/Inputs!$C$13)+$C$40/100,0.01)*SQRT($C$41))-(LN(D52/$C$9)+(MAX(SQRT((Inputs!$C$21+Inputs!$C$22*(Inputs!$C$23*(LN($C$9/D52)-Inputs!$C$24)+SQRT((LN($C$9/D52)-Inputs!$C$24)^2+Inputs!$C$25^2)))/Inputs!$C$13)+$C$40/100,0.01)*SQRT($C$41))^2/2)/(MAX(SQRT((Inputs!$C$21+Inputs!$C$22*(Inputs!$C$23*(LN($C$9/D52)-Inputs!$C$24)+SQRT((LN($C$9/D52)-Inputs!$C$24)^2+Inputs!$C$25^2)))/Inputs!$C$13)+$C$40/100,0.01)*SQRT($C$41)))-D52*NORMSDIST(-(LN(D52/$C$9)+(MAX(SQRT((Inputs!$C$21+Inputs!$C$22*(Inputs!$C$23*(LN($C$9/D52)-Inputs!$C$24)+SQRT((LN($C$9/D52)-Inputs!$C$24)^2+Inputs!$C$25^2)))/Inputs!$C$13)+$C$40/100,0.01)*SQRT($C$41))^2/2)/(MAX(SQRT((Inputs!$C$21+Inputs!$C$22*(Inputs!$C$23*(LN($C$9/D52)-Inputs!$C$24)+SQRT((LN($C$9/D52)-Inputs!$C$24)^2+Inputs!$C$25^2)))/Inputs!$C$13)+$C$40/100,0.01)*SQRT($C$41))))*$E$9</f>
        <v>26.4118234030923</v>
      </c>
      <c r="F52" s="17" t="n">
        <f aca="false">EXP(-Inputs!$C$15*$C$41)*IF($D$10="C",D52*NORMSDIST((LN(D52/$C$10)+(MAX(SQRT((Inputs!$C$21+Inputs!$C$22*(Inputs!$C$23*(LN($C$10/D52)-Inputs!$C$24)+SQRT((LN($C$10/D52)-Inputs!$C$24)^2+Inputs!$C$25^2)))/Inputs!$C$13)+$C$40/100,0.01)*SQRT($C$41))^2/2)/(MAX(SQRT((Inputs!$C$21+Inputs!$C$22*(Inputs!$C$23*(LN($C$10/D52)-Inputs!$C$24)+SQRT((LN($C$10/D52)-Inputs!$C$24)^2+Inputs!$C$25^2)))/Inputs!$C$13)+$C$40/100,0.01)*SQRT($C$41)))-$C$10*NORMSDIST((LN(D52/$C$10)+(MAX(SQRT((Inputs!$C$21+Inputs!$C$22*(Inputs!$C$23*(LN($C$10/D52)-Inputs!$C$24)+SQRT((LN($C$10/D52)-Inputs!$C$24)^2+Inputs!$C$25^2)))/Inputs!$C$13)+$C$40/100,0.01)*SQRT($C$41))^2/2)/(MAX(SQRT((Inputs!$C$21+Inputs!$C$22*(Inputs!$C$23*(LN($C$10/D52)-Inputs!$C$24)+SQRT((LN($C$10/D52)-Inputs!$C$24)^2+Inputs!$C$25^2)))/Inputs!$C$13)+$C$40/100,0.01)*SQRT($C$41))-(MAX(SQRT((Inputs!$C$21+Inputs!$C$22*(Inputs!$C$23*(LN($C$10/D52)-Inputs!$C$24)+SQRT((LN($C$10/D52)-Inputs!$C$24)^2+Inputs!$C$25^2)))/Inputs!$C$13)+$C$40/100,0.01)*SQRT($C$41))),$C$10*NORMSDIST((MAX(SQRT((Inputs!$C$21+Inputs!$C$22*(Inputs!$C$23*(LN($C$10/D52)-Inputs!$C$24)+SQRT((LN($C$10/D52)-Inputs!$C$24)^2+Inputs!$C$25^2)))/Inputs!$C$13)+$C$40/100,0.01)*SQRT($C$41))-(LN(D52/$C$10)+(MAX(SQRT((Inputs!$C$21+Inputs!$C$22*(Inputs!$C$23*(LN($C$10/D52)-Inputs!$C$24)+SQRT((LN($C$10/D52)-Inputs!$C$24)^2+Inputs!$C$25^2)))/Inputs!$C$13)+$C$40/100,0.01)*SQRT($C$41))^2/2)/(MAX(SQRT((Inputs!$C$21+Inputs!$C$22*(Inputs!$C$23*(LN($C$10/D52)-Inputs!$C$24)+SQRT((LN($C$10/D52)-Inputs!$C$24)^2+Inputs!$C$25^2)))/Inputs!$C$13)+$C$40/100,0.01)*SQRT($C$41)))-D52*NORMSDIST(-(LN(D52/$C$10)+(MAX(SQRT((Inputs!$C$21+Inputs!$C$22*(Inputs!$C$23*(LN($C$10/D52)-Inputs!$C$24)+SQRT((LN($C$10/D52)-Inputs!$C$24)^2+Inputs!$C$25^2)))/Inputs!$C$13)+$C$40/100,0.01)*SQRT($C$41))^2/2)/(MAX(SQRT((Inputs!$C$21+Inputs!$C$22*(Inputs!$C$23*(LN($C$10/D52)-Inputs!$C$24)+SQRT((LN($C$10/D52)-Inputs!$C$24)^2+Inputs!$C$25^2)))/Inputs!$C$13)+$C$40/100,0.01)*SQRT($C$41))))*$E$10</f>
        <v>-15.6231019138981</v>
      </c>
      <c r="G52" s="17" t="n">
        <f aca="false">EXP(-Inputs!$C$15*$C$41)*IF($D$11="C",D52*NORMSDIST((LN(D52/$C$11)+(MAX(SQRT((Inputs!$C$21+Inputs!$C$22*(Inputs!$C$23*(LN($C$11/D52)-Inputs!$C$24)+SQRT((LN($C$11/D52)-Inputs!$C$24)^2+Inputs!$C$25^2)))/Inputs!$C$13)+$C$40/100,0.01)*SQRT($C$41))^2/2)/(MAX(SQRT((Inputs!$C$21+Inputs!$C$22*(Inputs!$C$23*(LN($C$11/D52)-Inputs!$C$24)+SQRT((LN($C$11/D52)-Inputs!$C$24)^2+Inputs!$C$25^2)))/Inputs!$C$13)+$C$40/100,0.01)*SQRT($C$41)))-$C$11*NORMSDIST((LN(D52/$C$11)+(MAX(SQRT((Inputs!$C$21+Inputs!$C$22*(Inputs!$C$23*(LN($C$11/D52)-Inputs!$C$24)+SQRT((LN($C$11/D52)-Inputs!$C$24)^2+Inputs!$C$25^2)))/Inputs!$C$13)+$C$40/100,0.01)*SQRT($C$41))^2/2)/(MAX(SQRT((Inputs!$C$21+Inputs!$C$22*(Inputs!$C$23*(LN($C$11/D52)-Inputs!$C$24)+SQRT((LN($C$11/D52)-Inputs!$C$24)^2+Inputs!$C$25^2)))/Inputs!$C$13)+$C$40/100,0.01)*SQRT($C$41))-(MAX(SQRT((Inputs!$C$21+Inputs!$C$22*(Inputs!$C$23*(LN($C$11/D52)-Inputs!$C$24)+SQRT((LN($C$11/D52)-Inputs!$C$24)^2+Inputs!$C$25^2)))/Inputs!$C$13)+$C$40/100,0.01)*SQRT($C$41))),$C$11*NORMSDIST((MAX(SQRT((Inputs!$C$21+Inputs!$C$22*(Inputs!$C$23*(LN($C$11/D52)-Inputs!$C$24)+SQRT((LN($C$11/D52)-Inputs!$C$24)^2+Inputs!$C$25^2)))/Inputs!$C$13)+$C$40/100,0.01)*SQRT($C$41))-(LN(D52/$C$11)+(MAX(SQRT((Inputs!$C$21+Inputs!$C$22*(Inputs!$C$23*(LN($C$11/D52)-Inputs!$C$24)+SQRT((LN($C$11/D52)-Inputs!$C$24)^2+Inputs!$C$25^2)))/Inputs!$C$13)+$C$40/100,0.01)*SQRT($C$41))^2/2)/(MAX(SQRT((Inputs!$C$21+Inputs!$C$22*(Inputs!$C$23*(LN($C$11/D52)-Inputs!$C$24)+SQRT((LN($C$11/D52)-Inputs!$C$24)^2+Inputs!$C$25^2)))/Inputs!$C$13)+$C$40/100,0.01)*SQRT($C$41)))-D52*NORMSDIST(-(LN(D52/$C$11)+(MAX(SQRT((Inputs!$C$21+Inputs!$C$22*(Inputs!$C$23*(LN($C$11/D52)-Inputs!$C$24)+SQRT((LN($C$11/D52)-Inputs!$C$24)^2+Inputs!$C$25^2)))/Inputs!$C$13)+$C$40/100,0.01)*SQRT($C$41))^2/2)/(MAX(SQRT((Inputs!$C$21+Inputs!$C$22*(Inputs!$C$23*(LN($C$11/D52)-Inputs!$C$24)+SQRT((LN($C$11/D52)-Inputs!$C$24)^2+Inputs!$C$25^2)))/Inputs!$C$13)+$C$40/100,0.01)*SQRT($C$41))))*$E$11</f>
        <v>0</v>
      </c>
      <c r="H52" s="17" t="n">
        <f aca="false">E52+F52+G52</f>
        <v>10.7887214891942</v>
      </c>
      <c r="I52" s="33" t="n">
        <f aca="false">Inputs!$C$28*(1+Inputs!$C$29*B52)/1000000</f>
        <v>487.5</v>
      </c>
      <c r="J52" s="33" t="n">
        <f aca="false">(H52-Pricer!$D$23)*Inputs!$C$31*Inputs!$C$30/1000000</f>
        <v>8.36253477666605</v>
      </c>
      <c r="K52" s="33" t="n">
        <f aca="false">I52+J52</f>
        <v>495.862534776666</v>
      </c>
      <c r="L52" s="33" t="n">
        <f aca="false">K52-I52</f>
        <v>8.36253477666605</v>
      </c>
    </row>
    <row r="53" customFormat="false" ht="15" hidden="false" customHeight="false" outlineLevel="0" collapsed="false">
      <c r="B53" s="47" t="n">
        <v>0</v>
      </c>
      <c r="C53" s="17" t="n">
        <f aca="false">Inputs!$C$14*(1+B53)</f>
        <v>561.3562</v>
      </c>
      <c r="D53" s="17" t="n">
        <f aca="false">C53*EXP((Inputs!$C$15-Inputs!$C$16)*$C$41)</f>
        <v>563.768426512837</v>
      </c>
      <c r="E53" s="17" t="n">
        <f aca="false">EXP(-Inputs!$C$15*$C$41)*IF($D$9="C",D53*NORMSDIST((LN(D53/$C$9)+(MAX(SQRT((Inputs!$C$21+Inputs!$C$22*(Inputs!$C$23*(LN($C$9/D53)-Inputs!$C$24)+SQRT((LN($C$9/D53)-Inputs!$C$24)^2+Inputs!$C$25^2)))/Inputs!$C$13)+$C$40/100,0.01)*SQRT($C$41))^2/2)/(MAX(SQRT((Inputs!$C$21+Inputs!$C$22*(Inputs!$C$23*(LN($C$9/D53)-Inputs!$C$24)+SQRT((LN($C$9/D53)-Inputs!$C$24)^2+Inputs!$C$25^2)))/Inputs!$C$13)+$C$40/100,0.01)*SQRT($C$41)))-$C$9*NORMSDIST((LN(D53/$C$9)+(MAX(SQRT((Inputs!$C$21+Inputs!$C$22*(Inputs!$C$23*(LN($C$9/D53)-Inputs!$C$24)+SQRT((LN($C$9/D53)-Inputs!$C$24)^2+Inputs!$C$25^2)))/Inputs!$C$13)+$C$40/100,0.01)*SQRT($C$41))^2/2)/(MAX(SQRT((Inputs!$C$21+Inputs!$C$22*(Inputs!$C$23*(LN($C$9/D53)-Inputs!$C$24)+SQRT((LN($C$9/D53)-Inputs!$C$24)^2+Inputs!$C$25^2)))/Inputs!$C$13)+$C$40/100,0.01)*SQRT($C$41))-(MAX(SQRT((Inputs!$C$21+Inputs!$C$22*(Inputs!$C$23*(LN($C$9/D53)-Inputs!$C$24)+SQRT((LN($C$9/D53)-Inputs!$C$24)^2+Inputs!$C$25^2)))/Inputs!$C$13)+$C$40/100,0.01)*SQRT($C$41))),$C$9*NORMSDIST((MAX(SQRT((Inputs!$C$21+Inputs!$C$22*(Inputs!$C$23*(LN($C$9/D53)-Inputs!$C$24)+SQRT((LN($C$9/D53)-Inputs!$C$24)^2+Inputs!$C$25^2)))/Inputs!$C$13)+$C$40/100,0.01)*SQRT($C$41))-(LN(D53/$C$9)+(MAX(SQRT((Inputs!$C$21+Inputs!$C$22*(Inputs!$C$23*(LN($C$9/D53)-Inputs!$C$24)+SQRT((LN($C$9/D53)-Inputs!$C$24)^2+Inputs!$C$25^2)))/Inputs!$C$13)+$C$40/100,0.01)*SQRT($C$41))^2/2)/(MAX(SQRT((Inputs!$C$21+Inputs!$C$22*(Inputs!$C$23*(LN($C$9/D53)-Inputs!$C$24)+SQRT((LN($C$9/D53)-Inputs!$C$24)^2+Inputs!$C$25^2)))/Inputs!$C$13)+$C$40/100,0.01)*SQRT($C$41)))-D53*NORMSDIST(-(LN(D53/$C$9)+(MAX(SQRT((Inputs!$C$21+Inputs!$C$22*(Inputs!$C$23*(LN($C$9/D53)-Inputs!$C$24)+SQRT((LN($C$9/D53)-Inputs!$C$24)^2+Inputs!$C$25^2)))/Inputs!$C$13)+$C$40/100,0.01)*SQRT($C$41))^2/2)/(MAX(SQRT((Inputs!$C$21+Inputs!$C$22*(Inputs!$C$23*(LN($C$9/D53)-Inputs!$C$24)+SQRT((LN($C$9/D53)-Inputs!$C$24)^2+Inputs!$C$25^2)))/Inputs!$C$13)+$C$40/100,0.01)*SQRT($C$41))))*$E$9</f>
        <v>22.3297076600545</v>
      </c>
      <c r="F53" s="17" t="n">
        <f aca="false">EXP(-Inputs!$C$15*$C$41)*IF($D$10="C",D53*NORMSDIST((LN(D53/$C$10)+(MAX(SQRT((Inputs!$C$21+Inputs!$C$22*(Inputs!$C$23*(LN($C$10/D53)-Inputs!$C$24)+SQRT((LN($C$10/D53)-Inputs!$C$24)^2+Inputs!$C$25^2)))/Inputs!$C$13)+$C$40/100,0.01)*SQRT($C$41))^2/2)/(MAX(SQRT((Inputs!$C$21+Inputs!$C$22*(Inputs!$C$23*(LN($C$10/D53)-Inputs!$C$24)+SQRT((LN($C$10/D53)-Inputs!$C$24)^2+Inputs!$C$25^2)))/Inputs!$C$13)+$C$40/100,0.01)*SQRT($C$41)))-$C$10*NORMSDIST((LN(D53/$C$10)+(MAX(SQRT((Inputs!$C$21+Inputs!$C$22*(Inputs!$C$23*(LN($C$10/D53)-Inputs!$C$24)+SQRT((LN($C$10/D53)-Inputs!$C$24)^2+Inputs!$C$25^2)))/Inputs!$C$13)+$C$40/100,0.01)*SQRT($C$41))^2/2)/(MAX(SQRT((Inputs!$C$21+Inputs!$C$22*(Inputs!$C$23*(LN($C$10/D53)-Inputs!$C$24)+SQRT((LN($C$10/D53)-Inputs!$C$24)^2+Inputs!$C$25^2)))/Inputs!$C$13)+$C$40/100,0.01)*SQRT($C$41))-(MAX(SQRT((Inputs!$C$21+Inputs!$C$22*(Inputs!$C$23*(LN($C$10/D53)-Inputs!$C$24)+SQRT((LN($C$10/D53)-Inputs!$C$24)^2+Inputs!$C$25^2)))/Inputs!$C$13)+$C$40/100,0.01)*SQRT($C$41))),$C$10*NORMSDIST((MAX(SQRT((Inputs!$C$21+Inputs!$C$22*(Inputs!$C$23*(LN($C$10/D53)-Inputs!$C$24)+SQRT((LN($C$10/D53)-Inputs!$C$24)^2+Inputs!$C$25^2)))/Inputs!$C$13)+$C$40/100,0.01)*SQRT($C$41))-(LN(D53/$C$10)+(MAX(SQRT((Inputs!$C$21+Inputs!$C$22*(Inputs!$C$23*(LN($C$10/D53)-Inputs!$C$24)+SQRT((LN($C$10/D53)-Inputs!$C$24)^2+Inputs!$C$25^2)))/Inputs!$C$13)+$C$40/100,0.01)*SQRT($C$41))^2/2)/(MAX(SQRT((Inputs!$C$21+Inputs!$C$22*(Inputs!$C$23*(LN($C$10/D53)-Inputs!$C$24)+SQRT((LN($C$10/D53)-Inputs!$C$24)^2+Inputs!$C$25^2)))/Inputs!$C$13)+$C$40/100,0.01)*SQRT($C$41)))-D53*NORMSDIST(-(LN(D53/$C$10)+(MAX(SQRT((Inputs!$C$21+Inputs!$C$22*(Inputs!$C$23*(LN($C$10/D53)-Inputs!$C$24)+SQRT((LN($C$10/D53)-Inputs!$C$24)^2+Inputs!$C$25^2)))/Inputs!$C$13)+$C$40/100,0.01)*SQRT($C$41))^2/2)/(MAX(SQRT((Inputs!$C$21+Inputs!$C$22*(Inputs!$C$23*(LN($C$10/D53)-Inputs!$C$24)+SQRT((LN($C$10/D53)-Inputs!$C$24)^2+Inputs!$C$25^2)))/Inputs!$C$13)+$C$40/100,0.01)*SQRT($C$41))))*$E$10</f>
        <v>-21.9198970696403</v>
      </c>
      <c r="G53" s="17" t="n">
        <f aca="false">EXP(-Inputs!$C$15*$C$41)*IF($D$11="C",D53*NORMSDIST((LN(D53/$C$11)+(MAX(SQRT((Inputs!$C$21+Inputs!$C$22*(Inputs!$C$23*(LN($C$11/D53)-Inputs!$C$24)+SQRT((LN($C$11/D53)-Inputs!$C$24)^2+Inputs!$C$25^2)))/Inputs!$C$13)+$C$40/100,0.01)*SQRT($C$41))^2/2)/(MAX(SQRT((Inputs!$C$21+Inputs!$C$22*(Inputs!$C$23*(LN($C$11/D53)-Inputs!$C$24)+SQRT((LN($C$11/D53)-Inputs!$C$24)^2+Inputs!$C$25^2)))/Inputs!$C$13)+$C$40/100,0.01)*SQRT($C$41)))-$C$11*NORMSDIST((LN(D53/$C$11)+(MAX(SQRT((Inputs!$C$21+Inputs!$C$22*(Inputs!$C$23*(LN($C$11/D53)-Inputs!$C$24)+SQRT((LN($C$11/D53)-Inputs!$C$24)^2+Inputs!$C$25^2)))/Inputs!$C$13)+$C$40/100,0.01)*SQRT($C$41))^2/2)/(MAX(SQRT((Inputs!$C$21+Inputs!$C$22*(Inputs!$C$23*(LN($C$11/D53)-Inputs!$C$24)+SQRT((LN($C$11/D53)-Inputs!$C$24)^2+Inputs!$C$25^2)))/Inputs!$C$13)+$C$40/100,0.01)*SQRT($C$41))-(MAX(SQRT((Inputs!$C$21+Inputs!$C$22*(Inputs!$C$23*(LN($C$11/D53)-Inputs!$C$24)+SQRT((LN($C$11/D53)-Inputs!$C$24)^2+Inputs!$C$25^2)))/Inputs!$C$13)+$C$40/100,0.01)*SQRT($C$41))),$C$11*NORMSDIST((MAX(SQRT((Inputs!$C$21+Inputs!$C$22*(Inputs!$C$23*(LN($C$11/D53)-Inputs!$C$24)+SQRT((LN($C$11/D53)-Inputs!$C$24)^2+Inputs!$C$25^2)))/Inputs!$C$13)+$C$40/100,0.01)*SQRT($C$41))-(LN(D53/$C$11)+(MAX(SQRT((Inputs!$C$21+Inputs!$C$22*(Inputs!$C$23*(LN($C$11/D53)-Inputs!$C$24)+SQRT((LN($C$11/D53)-Inputs!$C$24)^2+Inputs!$C$25^2)))/Inputs!$C$13)+$C$40/100,0.01)*SQRT($C$41))^2/2)/(MAX(SQRT((Inputs!$C$21+Inputs!$C$22*(Inputs!$C$23*(LN($C$11/D53)-Inputs!$C$24)+SQRT((LN($C$11/D53)-Inputs!$C$24)^2+Inputs!$C$25^2)))/Inputs!$C$13)+$C$40/100,0.01)*SQRT($C$41)))-D53*NORMSDIST(-(LN(D53/$C$11)+(MAX(SQRT((Inputs!$C$21+Inputs!$C$22*(Inputs!$C$23*(LN($C$11/D53)-Inputs!$C$24)+SQRT((LN($C$11/D53)-Inputs!$C$24)^2+Inputs!$C$25^2)))/Inputs!$C$13)+$C$40/100,0.01)*SQRT($C$41))^2/2)/(MAX(SQRT((Inputs!$C$21+Inputs!$C$22*(Inputs!$C$23*(LN($C$11/D53)-Inputs!$C$24)+SQRT((LN($C$11/D53)-Inputs!$C$24)^2+Inputs!$C$25^2)))/Inputs!$C$13)+$C$40/100,0.01)*SQRT($C$41))))*$E$11</f>
        <v>0</v>
      </c>
      <c r="H53" s="17" t="n">
        <f aca="false">E53+F53+G53</f>
        <v>0.409810590414246</v>
      </c>
      <c r="I53" s="33" t="n">
        <f aca="false">Inputs!$C$28*(1+Inputs!$C$29*B53)/1000000</f>
        <v>500</v>
      </c>
      <c r="J53" s="33" t="n">
        <f aca="false">(H53-Pricer!$D$23)*Inputs!$C$31*Inputs!$C$30/1000000</f>
        <v>-0.881961764727774</v>
      </c>
      <c r="K53" s="33" t="n">
        <f aca="false">I53+J53</f>
        <v>499.118038235272</v>
      </c>
      <c r="L53" s="33" t="n">
        <f aca="false">K53-I53</f>
        <v>-0.881961764727748</v>
      </c>
    </row>
    <row r="54" customFormat="false" ht="15" hidden="false" customHeight="false" outlineLevel="0" collapsed="false">
      <c r="B54" s="47" t="n">
        <v>0.025</v>
      </c>
      <c r="C54" s="17" t="n">
        <f aca="false">Inputs!$C$14*(1+B54)</f>
        <v>575.390105</v>
      </c>
      <c r="D54" s="17" t="n">
        <f aca="false">C54*EXP((Inputs!$C$15-Inputs!$C$16)*$C$41)</f>
        <v>577.862637175657</v>
      </c>
      <c r="E54" s="17" t="n">
        <f aca="false">EXP(-Inputs!$C$15*$C$41)*IF($D$9="C",D54*NORMSDIST((LN(D54/$C$9)+(MAX(SQRT((Inputs!$C$21+Inputs!$C$22*(Inputs!$C$23*(LN($C$9/D54)-Inputs!$C$24)+SQRT((LN($C$9/D54)-Inputs!$C$24)^2+Inputs!$C$25^2)))/Inputs!$C$13)+$C$40/100,0.01)*SQRT($C$41))^2/2)/(MAX(SQRT((Inputs!$C$21+Inputs!$C$22*(Inputs!$C$23*(LN($C$9/D54)-Inputs!$C$24)+SQRT((LN($C$9/D54)-Inputs!$C$24)^2+Inputs!$C$25^2)))/Inputs!$C$13)+$C$40/100,0.01)*SQRT($C$41)))-$C$9*NORMSDIST((LN(D54/$C$9)+(MAX(SQRT((Inputs!$C$21+Inputs!$C$22*(Inputs!$C$23*(LN($C$9/D54)-Inputs!$C$24)+SQRT((LN($C$9/D54)-Inputs!$C$24)^2+Inputs!$C$25^2)))/Inputs!$C$13)+$C$40/100,0.01)*SQRT($C$41))^2/2)/(MAX(SQRT((Inputs!$C$21+Inputs!$C$22*(Inputs!$C$23*(LN($C$9/D54)-Inputs!$C$24)+SQRT((LN($C$9/D54)-Inputs!$C$24)^2+Inputs!$C$25^2)))/Inputs!$C$13)+$C$40/100,0.01)*SQRT($C$41))-(MAX(SQRT((Inputs!$C$21+Inputs!$C$22*(Inputs!$C$23*(LN($C$9/D54)-Inputs!$C$24)+SQRT((LN($C$9/D54)-Inputs!$C$24)^2+Inputs!$C$25^2)))/Inputs!$C$13)+$C$40/100,0.01)*SQRT($C$41))),$C$9*NORMSDIST((MAX(SQRT((Inputs!$C$21+Inputs!$C$22*(Inputs!$C$23*(LN($C$9/D54)-Inputs!$C$24)+SQRT((LN($C$9/D54)-Inputs!$C$24)^2+Inputs!$C$25^2)))/Inputs!$C$13)+$C$40/100,0.01)*SQRT($C$41))-(LN(D54/$C$9)+(MAX(SQRT((Inputs!$C$21+Inputs!$C$22*(Inputs!$C$23*(LN($C$9/D54)-Inputs!$C$24)+SQRT((LN($C$9/D54)-Inputs!$C$24)^2+Inputs!$C$25^2)))/Inputs!$C$13)+$C$40/100,0.01)*SQRT($C$41))^2/2)/(MAX(SQRT((Inputs!$C$21+Inputs!$C$22*(Inputs!$C$23*(LN($C$9/D54)-Inputs!$C$24)+SQRT((LN($C$9/D54)-Inputs!$C$24)^2+Inputs!$C$25^2)))/Inputs!$C$13)+$C$40/100,0.01)*SQRT($C$41)))-D54*NORMSDIST(-(LN(D54/$C$9)+(MAX(SQRT((Inputs!$C$21+Inputs!$C$22*(Inputs!$C$23*(LN($C$9/D54)-Inputs!$C$24)+SQRT((LN($C$9/D54)-Inputs!$C$24)^2+Inputs!$C$25^2)))/Inputs!$C$13)+$C$40/100,0.01)*SQRT($C$41))^2/2)/(MAX(SQRT((Inputs!$C$21+Inputs!$C$22*(Inputs!$C$23*(LN($C$9/D54)-Inputs!$C$24)+SQRT((LN($C$9/D54)-Inputs!$C$24)^2+Inputs!$C$25^2)))/Inputs!$C$13)+$C$40/100,0.01)*SQRT($C$41))))*$E$9</f>
        <v>19.0376527921209</v>
      </c>
      <c r="F54" s="17" t="n">
        <f aca="false">EXP(-Inputs!$C$15*$C$41)*IF($D$10="C",D54*NORMSDIST((LN(D54/$C$10)+(MAX(SQRT((Inputs!$C$21+Inputs!$C$22*(Inputs!$C$23*(LN($C$10/D54)-Inputs!$C$24)+SQRT((LN($C$10/D54)-Inputs!$C$24)^2+Inputs!$C$25^2)))/Inputs!$C$13)+$C$40/100,0.01)*SQRT($C$41))^2/2)/(MAX(SQRT((Inputs!$C$21+Inputs!$C$22*(Inputs!$C$23*(LN($C$10/D54)-Inputs!$C$24)+SQRT((LN($C$10/D54)-Inputs!$C$24)^2+Inputs!$C$25^2)))/Inputs!$C$13)+$C$40/100,0.01)*SQRT($C$41)))-$C$10*NORMSDIST((LN(D54/$C$10)+(MAX(SQRT((Inputs!$C$21+Inputs!$C$22*(Inputs!$C$23*(LN($C$10/D54)-Inputs!$C$24)+SQRT((LN($C$10/D54)-Inputs!$C$24)^2+Inputs!$C$25^2)))/Inputs!$C$13)+$C$40/100,0.01)*SQRT($C$41))^2/2)/(MAX(SQRT((Inputs!$C$21+Inputs!$C$22*(Inputs!$C$23*(LN($C$10/D54)-Inputs!$C$24)+SQRT((LN($C$10/D54)-Inputs!$C$24)^2+Inputs!$C$25^2)))/Inputs!$C$13)+$C$40/100,0.01)*SQRT($C$41))-(MAX(SQRT((Inputs!$C$21+Inputs!$C$22*(Inputs!$C$23*(LN($C$10/D54)-Inputs!$C$24)+SQRT((LN($C$10/D54)-Inputs!$C$24)^2+Inputs!$C$25^2)))/Inputs!$C$13)+$C$40/100,0.01)*SQRT($C$41))),$C$10*NORMSDIST((MAX(SQRT((Inputs!$C$21+Inputs!$C$22*(Inputs!$C$23*(LN($C$10/D54)-Inputs!$C$24)+SQRT((LN($C$10/D54)-Inputs!$C$24)^2+Inputs!$C$25^2)))/Inputs!$C$13)+$C$40/100,0.01)*SQRT($C$41))-(LN(D54/$C$10)+(MAX(SQRT((Inputs!$C$21+Inputs!$C$22*(Inputs!$C$23*(LN($C$10/D54)-Inputs!$C$24)+SQRT((LN($C$10/D54)-Inputs!$C$24)^2+Inputs!$C$25^2)))/Inputs!$C$13)+$C$40/100,0.01)*SQRT($C$41))^2/2)/(MAX(SQRT((Inputs!$C$21+Inputs!$C$22*(Inputs!$C$23*(LN($C$10/D54)-Inputs!$C$24)+SQRT((LN($C$10/D54)-Inputs!$C$24)^2+Inputs!$C$25^2)))/Inputs!$C$13)+$C$40/100,0.01)*SQRT($C$41)))-D54*NORMSDIST(-(LN(D54/$C$10)+(MAX(SQRT((Inputs!$C$21+Inputs!$C$22*(Inputs!$C$23*(LN($C$10/D54)-Inputs!$C$24)+SQRT((LN($C$10/D54)-Inputs!$C$24)^2+Inputs!$C$25^2)))/Inputs!$C$13)+$C$40/100,0.01)*SQRT($C$41))^2/2)/(MAX(SQRT((Inputs!$C$21+Inputs!$C$22*(Inputs!$C$23*(LN($C$10/D54)-Inputs!$C$24)+SQRT((LN($C$10/D54)-Inputs!$C$24)^2+Inputs!$C$25^2)))/Inputs!$C$13)+$C$40/100,0.01)*SQRT($C$41))))*$E$10</f>
        <v>-29.542256630896</v>
      </c>
      <c r="G54" s="17" t="n">
        <f aca="false">EXP(-Inputs!$C$15*$C$41)*IF($D$11="C",D54*NORMSDIST((LN(D54/$C$11)+(MAX(SQRT((Inputs!$C$21+Inputs!$C$22*(Inputs!$C$23*(LN($C$11/D54)-Inputs!$C$24)+SQRT((LN($C$11/D54)-Inputs!$C$24)^2+Inputs!$C$25^2)))/Inputs!$C$13)+$C$40/100,0.01)*SQRT($C$41))^2/2)/(MAX(SQRT((Inputs!$C$21+Inputs!$C$22*(Inputs!$C$23*(LN($C$11/D54)-Inputs!$C$24)+SQRT((LN($C$11/D54)-Inputs!$C$24)^2+Inputs!$C$25^2)))/Inputs!$C$13)+$C$40/100,0.01)*SQRT($C$41)))-$C$11*NORMSDIST((LN(D54/$C$11)+(MAX(SQRT((Inputs!$C$21+Inputs!$C$22*(Inputs!$C$23*(LN($C$11/D54)-Inputs!$C$24)+SQRT((LN($C$11/D54)-Inputs!$C$24)^2+Inputs!$C$25^2)))/Inputs!$C$13)+$C$40/100,0.01)*SQRT($C$41))^2/2)/(MAX(SQRT((Inputs!$C$21+Inputs!$C$22*(Inputs!$C$23*(LN($C$11/D54)-Inputs!$C$24)+SQRT((LN($C$11/D54)-Inputs!$C$24)^2+Inputs!$C$25^2)))/Inputs!$C$13)+$C$40/100,0.01)*SQRT($C$41))-(MAX(SQRT((Inputs!$C$21+Inputs!$C$22*(Inputs!$C$23*(LN($C$11/D54)-Inputs!$C$24)+SQRT((LN($C$11/D54)-Inputs!$C$24)^2+Inputs!$C$25^2)))/Inputs!$C$13)+$C$40/100,0.01)*SQRT($C$41))),$C$11*NORMSDIST((MAX(SQRT((Inputs!$C$21+Inputs!$C$22*(Inputs!$C$23*(LN($C$11/D54)-Inputs!$C$24)+SQRT((LN($C$11/D54)-Inputs!$C$24)^2+Inputs!$C$25^2)))/Inputs!$C$13)+$C$40/100,0.01)*SQRT($C$41))-(LN(D54/$C$11)+(MAX(SQRT((Inputs!$C$21+Inputs!$C$22*(Inputs!$C$23*(LN($C$11/D54)-Inputs!$C$24)+SQRT((LN($C$11/D54)-Inputs!$C$24)^2+Inputs!$C$25^2)))/Inputs!$C$13)+$C$40/100,0.01)*SQRT($C$41))^2/2)/(MAX(SQRT((Inputs!$C$21+Inputs!$C$22*(Inputs!$C$23*(LN($C$11/D54)-Inputs!$C$24)+SQRT((LN($C$11/D54)-Inputs!$C$24)^2+Inputs!$C$25^2)))/Inputs!$C$13)+$C$40/100,0.01)*SQRT($C$41)))-D54*NORMSDIST(-(LN(D54/$C$11)+(MAX(SQRT((Inputs!$C$21+Inputs!$C$22*(Inputs!$C$23*(LN($C$11/D54)-Inputs!$C$24)+SQRT((LN($C$11/D54)-Inputs!$C$24)^2+Inputs!$C$25^2)))/Inputs!$C$13)+$C$40/100,0.01)*SQRT($C$41))^2/2)/(MAX(SQRT((Inputs!$C$21+Inputs!$C$22*(Inputs!$C$23*(LN($C$11/D54)-Inputs!$C$24)+SQRT((LN($C$11/D54)-Inputs!$C$24)^2+Inputs!$C$25^2)))/Inputs!$C$13)+$C$40/100,0.01)*SQRT($C$41))))*$E$11</f>
        <v>0</v>
      </c>
      <c r="H54" s="17" t="n">
        <f aca="false">E54+F54+G54</f>
        <v>-10.5046038387752</v>
      </c>
      <c r="I54" s="33" t="n">
        <f aca="false">Inputs!$C$28*(1+Inputs!$C$29*B54)/1000000</f>
        <v>512.5</v>
      </c>
      <c r="J54" s="33" t="n">
        <f aca="false">(H54-Pricer!$D$23)*Inputs!$C$31*Inputs!$C$30/1000000</f>
        <v>-10.6034313318132</v>
      </c>
      <c r="K54" s="33" t="n">
        <f aca="false">I54+J54</f>
        <v>501.896568668187</v>
      </c>
      <c r="L54" s="33" t="n">
        <f aca="false">K54-I54</f>
        <v>-10.6034313318132</v>
      </c>
    </row>
    <row r="55" customFormat="false" ht="15" hidden="false" customHeight="false" outlineLevel="0" collapsed="false">
      <c r="B55" s="47" t="n">
        <v>0.05</v>
      </c>
      <c r="C55" s="17" t="n">
        <f aca="false">Inputs!$C$14*(1+B55)</f>
        <v>589.42401</v>
      </c>
      <c r="D55" s="17" t="n">
        <f aca="false">C55*EXP((Inputs!$C$15-Inputs!$C$16)*$C$41)</f>
        <v>591.956847838478</v>
      </c>
      <c r="E55" s="17" t="n">
        <f aca="false">EXP(-Inputs!$C$15*$C$41)*IF($D$9="C",D55*NORMSDIST((LN(D55/$C$9)+(MAX(SQRT((Inputs!$C$21+Inputs!$C$22*(Inputs!$C$23*(LN($C$9/D55)-Inputs!$C$24)+SQRT((LN($C$9/D55)-Inputs!$C$24)^2+Inputs!$C$25^2)))/Inputs!$C$13)+$C$40/100,0.01)*SQRT($C$41))^2/2)/(MAX(SQRT((Inputs!$C$21+Inputs!$C$22*(Inputs!$C$23*(LN($C$9/D55)-Inputs!$C$24)+SQRT((LN($C$9/D55)-Inputs!$C$24)^2+Inputs!$C$25^2)))/Inputs!$C$13)+$C$40/100,0.01)*SQRT($C$41)))-$C$9*NORMSDIST((LN(D55/$C$9)+(MAX(SQRT((Inputs!$C$21+Inputs!$C$22*(Inputs!$C$23*(LN($C$9/D55)-Inputs!$C$24)+SQRT((LN($C$9/D55)-Inputs!$C$24)^2+Inputs!$C$25^2)))/Inputs!$C$13)+$C$40/100,0.01)*SQRT($C$41))^2/2)/(MAX(SQRT((Inputs!$C$21+Inputs!$C$22*(Inputs!$C$23*(LN($C$9/D55)-Inputs!$C$24)+SQRT((LN($C$9/D55)-Inputs!$C$24)^2+Inputs!$C$25^2)))/Inputs!$C$13)+$C$40/100,0.01)*SQRT($C$41))-(MAX(SQRT((Inputs!$C$21+Inputs!$C$22*(Inputs!$C$23*(LN($C$9/D55)-Inputs!$C$24)+SQRT((LN($C$9/D55)-Inputs!$C$24)^2+Inputs!$C$25^2)))/Inputs!$C$13)+$C$40/100,0.01)*SQRT($C$41))),$C$9*NORMSDIST((MAX(SQRT((Inputs!$C$21+Inputs!$C$22*(Inputs!$C$23*(LN($C$9/D55)-Inputs!$C$24)+SQRT((LN($C$9/D55)-Inputs!$C$24)^2+Inputs!$C$25^2)))/Inputs!$C$13)+$C$40/100,0.01)*SQRT($C$41))-(LN(D55/$C$9)+(MAX(SQRT((Inputs!$C$21+Inputs!$C$22*(Inputs!$C$23*(LN($C$9/D55)-Inputs!$C$24)+SQRT((LN($C$9/D55)-Inputs!$C$24)^2+Inputs!$C$25^2)))/Inputs!$C$13)+$C$40/100,0.01)*SQRT($C$41))^2/2)/(MAX(SQRT((Inputs!$C$21+Inputs!$C$22*(Inputs!$C$23*(LN($C$9/D55)-Inputs!$C$24)+SQRT((LN($C$9/D55)-Inputs!$C$24)^2+Inputs!$C$25^2)))/Inputs!$C$13)+$C$40/100,0.01)*SQRT($C$41)))-D55*NORMSDIST(-(LN(D55/$C$9)+(MAX(SQRT((Inputs!$C$21+Inputs!$C$22*(Inputs!$C$23*(LN($C$9/D55)-Inputs!$C$24)+SQRT((LN($C$9/D55)-Inputs!$C$24)^2+Inputs!$C$25^2)))/Inputs!$C$13)+$C$40/100,0.01)*SQRT($C$41))^2/2)/(MAX(SQRT((Inputs!$C$21+Inputs!$C$22*(Inputs!$C$23*(LN($C$9/D55)-Inputs!$C$24)+SQRT((LN($C$9/D55)-Inputs!$C$24)^2+Inputs!$C$25^2)))/Inputs!$C$13)+$C$40/100,0.01)*SQRT($C$41))))*$E$9</f>
        <v>16.3621302659112</v>
      </c>
      <c r="F55" s="17" t="n">
        <f aca="false">EXP(-Inputs!$C$15*$C$41)*IF($D$10="C",D55*NORMSDIST((LN(D55/$C$10)+(MAX(SQRT((Inputs!$C$21+Inputs!$C$22*(Inputs!$C$23*(LN($C$10/D55)-Inputs!$C$24)+SQRT((LN($C$10/D55)-Inputs!$C$24)^2+Inputs!$C$25^2)))/Inputs!$C$13)+$C$40/100,0.01)*SQRT($C$41))^2/2)/(MAX(SQRT((Inputs!$C$21+Inputs!$C$22*(Inputs!$C$23*(LN($C$10/D55)-Inputs!$C$24)+SQRT((LN($C$10/D55)-Inputs!$C$24)^2+Inputs!$C$25^2)))/Inputs!$C$13)+$C$40/100,0.01)*SQRT($C$41)))-$C$10*NORMSDIST((LN(D55/$C$10)+(MAX(SQRT((Inputs!$C$21+Inputs!$C$22*(Inputs!$C$23*(LN($C$10/D55)-Inputs!$C$24)+SQRT((LN($C$10/D55)-Inputs!$C$24)^2+Inputs!$C$25^2)))/Inputs!$C$13)+$C$40/100,0.01)*SQRT($C$41))^2/2)/(MAX(SQRT((Inputs!$C$21+Inputs!$C$22*(Inputs!$C$23*(LN($C$10/D55)-Inputs!$C$24)+SQRT((LN($C$10/D55)-Inputs!$C$24)^2+Inputs!$C$25^2)))/Inputs!$C$13)+$C$40/100,0.01)*SQRT($C$41))-(MAX(SQRT((Inputs!$C$21+Inputs!$C$22*(Inputs!$C$23*(LN($C$10/D55)-Inputs!$C$24)+SQRT((LN($C$10/D55)-Inputs!$C$24)^2+Inputs!$C$25^2)))/Inputs!$C$13)+$C$40/100,0.01)*SQRT($C$41))),$C$10*NORMSDIST((MAX(SQRT((Inputs!$C$21+Inputs!$C$22*(Inputs!$C$23*(LN($C$10/D55)-Inputs!$C$24)+SQRT((LN($C$10/D55)-Inputs!$C$24)^2+Inputs!$C$25^2)))/Inputs!$C$13)+$C$40/100,0.01)*SQRT($C$41))-(LN(D55/$C$10)+(MAX(SQRT((Inputs!$C$21+Inputs!$C$22*(Inputs!$C$23*(LN($C$10/D55)-Inputs!$C$24)+SQRT((LN($C$10/D55)-Inputs!$C$24)^2+Inputs!$C$25^2)))/Inputs!$C$13)+$C$40/100,0.01)*SQRT($C$41))^2/2)/(MAX(SQRT((Inputs!$C$21+Inputs!$C$22*(Inputs!$C$23*(LN($C$10/D55)-Inputs!$C$24)+SQRT((LN($C$10/D55)-Inputs!$C$24)^2+Inputs!$C$25^2)))/Inputs!$C$13)+$C$40/100,0.01)*SQRT($C$41)))-D55*NORMSDIST(-(LN(D55/$C$10)+(MAX(SQRT((Inputs!$C$21+Inputs!$C$22*(Inputs!$C$23*(LN($C$10/D55)-Inputs!$C$24)+SQRT((LN($C$10/D55)-Inputs!$C$24)^2+Inputs!$C$25^2)))/Inputs!$C$13)+$C$40/100,0.01)*SQRT($C$41))^2/2)/(MAX(SQRT((Inputs!$C$21+Inputs!$C$22*(Inputs!$C$23*(LN($C$10/D55)-Inputs!$C$24)+SQRT((LN($C$10/D55)-Inputs!$C$24)^2+Inputs!$C$25^2)))/Inputs!$C$13)+$C$40/100,0.01)*SQRT($C$41))))*$E$10</f>
        <v>-38.3210434992629</v>
      </c>
      <c r="G55" s="17" t="n">
        <f aca="false">EXP(-Inputs!$C$15*$C$41)*IF($D$11="C",D55*NORMSDIST((LN(D55/$C$11)+(MAX(SQRT((Inputs!$C$21+Inputs!$C$22*(Inputs!$C$23*(LN($C$11/D55)-Inputs!$C$24)+SQRT((LN($C$11/D55)-Inputs!$C$24)^2+Inputs!$C$25^2)))/Inputs!$C$13)+$C$40/100,0.01)*SQRT($C$41))^2/2)/(MAX(SQRT((Inputs!$C$21+Inputs!$C$22*(Inputs!$C$23*(LN($C$11/D55)-Inputs!$C$24)+SQRT((LN($C$11/D55)-Inputs!$C$24)^2+Inputs!$C$25^2)))/Inputs!$C$13)+$C$40/100,0.01)*SQRT($C$41)))-$C$11*NORMSDIST((LN(D55/$C$11)+(MAX(SQRT((Inputs!$C$21+Inputs!$C$22*(Inputs!$C$23*(LN($C$11/D55)-Inputs!$C$24)+SQRT((LN($C$11/D55)-Inputs!$C$24)^2+Inputs!$C$25^2)))/Inputs!$C$13)+$C$40/100,0.01)*SQRT($C$41))^2/2)/(MAX(SQRT((Inputs!$C$21+Inputs!$C$22*(Inputs!$C$23*(LN($C$11/D55)-Inputs!$C$24)+SQRT((LN($C$11/D55)-Inputs!$C$24)^2+Inputs!$C$25^2)))/Inputs!$C$13)+$C$40/100,0.01)*SQRT($C$41))-(MAX(SQRT((Inputs!$C$21+Inputs!$C$22*(Inputs!$C$23*(LN($C$11/D55)-Inputs!$C$24)+SQRT((LN($C$11/D55)-Inputs!$C$24)^2+Inputs!$C$25^2)))/Inputs!$C$13)+$C$40/100,0.01)*SQRT($C$41))),$C$11*NORMSDIST((MAX(SQRT((Inputs!$C$21+Inputs!$C$22*(Inputs!$C$23*(LN($C$11/D55)-Inputs!$C$24)+SQRT((LN($C$11/D55)-Inputs!$C$24)^2+Inputs!$C$25^2)))/Inputs!$C$13)+$C$40/100,0.01)*SQRT($C$41))-(LN(D55/$C$11)+(MAX(SQRT((Inputs!$C$21+Inputs!$C$22*(Inputs!$C$23*(LN($C$11/D55)-Inputs!$C$24)+SQRT((LN($C$11/D55)-Inputs!$C$24)^2+Inputs!$C$25^2)))/Inputs!$C$13)+$C$40/100,0.01)*SQRT($C$41))^2/2)/(MAX(SQRT((Inputs!$C$21+Inputs!$C$22*(Inputs!$C$23*(LN($C$11/D55)-Inputs!$C$24)+SQRT((LN($C$11/D55)-Inputs!$C$24)^2+Inputs!$C$25^2)))/Inputs!$C$13)+$C$40/100,0.01)*SQRT($C$41)))-D55*NORMSDIST(-(LN(D55/$C$11)+(MAX(SQRT((Inputs!$C$21+Inputs!$C$22*(Inputs!$C$23*(LN($C$11/D55)-Inputs!$C$24)+SQRT((LN($C$11/D55)-Inputs!$C$24)^2+Inputs!$C$25^2)))/Inputs!$C$13)+$C$40/100,0.01)*SQRT($C$41))^2/2)/(MAX(SQRT((Inputs!$C$21+Inputs!$C$22*(Inputs!$C$23*(LN($C$11/D55)-Inputs!$C$24)+SQRT((LN($C$11/D55)-Inputs!$C$24)^2+Inputs!$C$25^2)))/Inputs!$C$13)+$C$40/100,0.01)*SQRT($C$41))))*$E$11</f>
        <v>0</v>
      </c>
      <c r="H55" s="17" t="n">
        <f aca="false">E55+F55+G55</f>
        <v>-21.9589132333517</v>
      </c>
      <c r="I55" s="33" t="n">
        <f aca="false">Inputs!$C$28*(1+Inputs!$C$29*B55)/1000000</f>
        <v>525</v>
      </c>
      <c r="J55" s="33" t="n">
        <f aca="false">(H55-Pricer!$D$23)*Inputs!$C$31*Inputs!$C$30/1000000</f>
        <v>-20.8057853759803</v>
      </c>
      <c r="K55" s="33" t="n">
        <f aca="false">I55+J55</f>
        <v>504.19421462402</v>
      </c>
      <c r="L55" s="33" t="n">
        <f aca="false">K55-I55</f>
        <v>-20.8057853759802</v>
      </c>
    </row>
    <row r="56" customFormat="false" ht="15" hidden="false" customHeight="false" outlineLevel="0" collapsed="false">
      <c r="B56" s="47" t="n">
        <v>0.075</v>
      </c>
      <c r="C56" s="17" t="n">
        <f aca="false">Inputs!$C$14*(1+B56)</f>
        <v>603.457915</v>
      </c>
      <c r="D56" s="17" t="n">
        <f aca="false">C56*EXP((Inputs!$C$15-Inputs!$C$16)*$C$41)</f>
        <v>606.051058501299</v>
      </c>
      <c r="E56" s="17" t="n">
        <f aca="false">EXP(-Inputs!$C$15*$C$41)*IF($D$9="C",D56*NORMSDIST((LN(D56/$C$9)+(MAX(SQRT((Inputs!$C$21+Inputs!$C$22*(Inputs!$C$23*(LN($C$9/D56)-Inputs!$C$24)+SQRT((LN($C$9/D56)-Inputs!$C$24)^2+Inputs!$C$25^2)))/Inputs!$C$13)+$C$40/100,0.01)*SQRT($C$41))^2/2)/(MAX(SQRT((Inputs!$C$21+Inputs!$C$22*(Inputs!$C$23*(LN($C$9/D56)-Inputs!$C$24)+SQRT((LN($C$9/D56)-Inputs!$C$24)^2+Inputs!$C$25^2)))/Inputs!$C$13)+$C$40/100,0.01)*SQRT($C$41)))-$C$9*NORMSDIST((LN(D56/$C$9)+(MAX(SQRT((Inputs!$C$21+Inputs!$C$22*(Inputs!$C$23*(LN($C$9/D56)-Inputs!$C$24)+SQRT((LN($C$9/D56)-Inputs!$C$24)^2+Inputs!$C$25^2)))/Inputs!$C$13)+$C$40/100,0.01)*SQRT($C$41))^2/2)/(MAX(SQRT((Inputs!$C$21+Inputs!$C$22*(Inputs!$C$23*(LN($C$9/D56)-Inputs!$C$24)+SQRT((LN($C$9/D56)-Inputs!$C$24)^2+Inputs!$C$25^2)))/Inputs!$C$13)+$C$40/100,0.01)*SQRT($C$41))-(MAX(SQRT((Inputs!$C$21+Inputs!$C$22*(Inputs!$C$23*(LN($C$9/D56)-Inputs!$C$24)+SQRT((LN($C$9/D56)-Inputs!$C$24)^2+Inputs!$C$25^2)))/Inputs!$C$13)+$C$40/100,0.01)*SQRT($C$41))),$C$9*NORMSDIST((MAX(SQRT((Inputs!$C$21+Inputs!$C$22*(Inputs!$C$23*(LN($C$9/D56)-Inputs!$C$24)+SQRT((LN($C$9/D56)-Inputs!$C$24)^2+Inputs!$C$25^2)))/Inputs!$C$13)+$C$40/100,0.01)*SQRT($C$41))-(LN(D56/$C$9)+(MAX(SQRT((Inputs!$C$21+Inputs!$C$22*(Inputs!$C$23*(LN($C$9/D56)-Inputs!$C$24)+SQRT((LN($C$9/D56)-Inputs!$C$24)^2+Inputs!$C$25^2)))/Inputs!$C$13)+$C$40/100,0.01)*SQRT($C$41))^2/2)/(MAX(SQRT((Inputs!$C$21+Inputs!$C$22*(Inputs!$C$23*(LN($C$9/D56)-Inputs!$C$24)+SQRT((LN($C$9/D56)-Inputs!$C$24)^2+Inputs!$C$25^2)))/Inputs!$C$13)+$C$40/100,0.01)*SQRT($C$41)))-D56*NORMSDIST(-(LN(D56/$C$9)+(MAX(SQRT((Inputs!$C$21+Inputs!$C$22*(Inputs!$C$23*(LN($C$9/D56)-Inputs!$C$24)+SQRT((LN($C$9/D56)-Inputs!$C$24)^2+Inputs!$C$25^2)))/Inputs!$C$13)+$C$40/100,0.01)*SQRT($C$41))^2/2)/(MAX(SQRT((Inputs!$C$21+Inputs!$C$22*(Inputs!$C$23*(LN($C$9/D56)-Inputs!$C$24)+SQRT((LN($C$9/D56)-Inputs!$C$24)^2+Inputs!$C$25^2)))/Inputs!$C$13)+$C$40/100,0.01)*SQRT($C$41))))*$E$9</f>
        <v>14.1671976131705</v>
      </c>
      <c r="F56" s="17" t="n">
        <f aca="false">EXP(-Inputs!$C$15*$C$41)*IF($D$10="C",D56*NORMSDIST((LN(D56/$C$10)+(MAX(SQRT((Inputs!$C$21+Inputs!$C$22*(Inputs!$C$23*(LN($C$10/D56)-Inputs!$C$24)+SQRT((LN($C$10/D56)-Inputs!$C$24)^2+Inputs!$C$25^2)))/Inputs!$C$13)+$C$40/100,0.01)*SQRT($C$41))^2/2)/(MAX(SQRT((Inputs!$C$21+Inputs!$C$22*(Inputs!$C$23*(LN($C$10/D56)-Inputs!$C$24)+SQRT((LN($C$10/D56)-Inputs!$C$24)^2+Inputs!$C$25^2)))/Inputs!$C$13)+$C$40/100,0.01)*SQRT($C$41)))-$C$10*NORMSDIST((LN(D56/$C$10)+(MAX(SQRT((Inputs!$C$21+Inputs!$C$22*(Inputs!$C$23*(LN($C$10/D56)-Inputs!$C$24)+SQRT((LN($C$10/D56)-Inputs!$C$24)^2+Inputs!$C$25^2)))/Inputs!$C$13)+$C$40/100,0.01)*SQRT($C$41))^2/2)/(MAX(SQRT((Inputs!$C$21+Inputs!$C$22*(Inputs!$C$23*(LN($C$10/D56)-Inputs!$C$24)+SQRT((LN($C$10/D56)-Inputs!$C$24)^2+Inputs!$C$25^2)))/Inputs!$C$13)+$C$40/100,0.01)*SQRT($C$41))-(MAX(SQRT((Inputs!$C$21+Inputs!$C$22*(Inputs!$C$23*(LN($C$10/D56)-Inputs!$C$24)+SQRT((LN($C$10/D56)-Inputs!$C$24)^2+Inputs!$C$25^2)))/Inputs!$C$13)+$C$40/100,0.01)*SQRT($C$41))),$C$10*NORMSDIST((MAX(SQRT((Inputs!$C$21+Inputs!$C$22*(Inputs!$C$23*(LN($C$10/D56)-Inputs!$C$24)+SQRT((LN($C$10/D56)-Inputs!$C$24)^2+Inputs!$C$25^2)))/Inputs!$C$13)+$C$40/100,0.01)*SQRT($C$41))-(LN(D56/$C$10)+(MAX(SQRT((Inputs!$C$21+Inputs!$C$22*(Inputs!$C$23*(LN($C$10/D56)-Inputs!$C$24)+SQRT((LN($C$10/D56)-Inputs!$C$24)^2+Inputs!$C$25^2)))/Inputs!$C$13)+$C$40/100,0.01)*SQRT($C$41))^2/2)/(MAX(SQRT((Inputs!$C$21+Inputs!$C$22*(Inputs!$C$23*(LN($C$10/D56)-Inputs!$C$24)+SQRT((LN($C$10/D56)-Inputs!$C$24)^2+Inputs!$C$25^2)))/Inputs!$C$13)+$C$40/100,0.01)*SQRT($C$41)))-D56*NORMSDIST(-(LN(D56/$C$10)+(MAX(SQRT((Inputs!$C$21+Inputs!$C$22*(Inputs!$C$23*(LN($C$10/D56)-Inputs!$C$24)+SQRT((LN($C$10/D56)-Inputs!$C$24)^2+Inputs!$C$25^2)))/Inputs!$C$13)+$C$40/100,0.01)*SQRT($C$41))^2/2)/(MAX(SQRT((Inputs!$C$21+Inputs!$C$22*(Inputs!$C$23*(LN($C$10/D56)-Inputs!$C$24)+SQRT((LN($C$10/D56)-Inputs!$C$24)^2+Inputs!$C$25^2)))/Inputs!$C$13)+$C$40/100,0.01)*SQRT($C$41))))*$E$10</f>
        <v>-48.0599194345024</v>
      </c>
      <c r="G56" s="17" t="n">
        <f aca="false">EXP(-Inputs!$C$15*$C$41)*IF($D$11="C",D56*NORMSDIST((LN(D56/$C$11)+(MAX(SQRT((Inputs!$C$21+Inputs!$C$22*(Inputs!$C$23*(LN($C$11/D56)-Inputs!$C$24)+SQRT((LN($C$11/D56)-Inputs!$C$24)^2+Inputs!$C$25^2)))/Inputs!$C$13)+$C$40/100,0.01)*SQRT($C$41))^2/2)/(MAX(SQRT((Inputs!$C$21+Inputs!$C$22*(Inputs!$C$23*(LN($C$11/D56)-Inputs!$C$24)+SQRT((LN($C$11/D56)-Inputs!$C$24)^2+Inputs!$C$25^2)))/Inputs!$C$13)+$C$40/100,0.01)*SQRT($C$41)))-$C$11*NORMSDIST((LN(D56/$C$11)+(MAX(SQRT((Inputs!$C$21+Inputs!$C$22*(Inputs!$C$23*(LN($C$11/D56)-Inputs!$C$24)+SQRT((LN($C$11/D56)-Inputs!$C$24)^2+Inputs!$C$25^2)))/Inputs!$C$13)+$C$40/100,0.01)*SQRT($C$41))^2/2)/(MAX(SQRT((Inputs!$C$21+Inputs!$C$22*(Inputs!$C$23*(LN($C$11/D56)-Inputs!$C$24)+SQRT((LN($C$11/D56)-Inputs!$C$24)^2+Inputs!$C$25^2)))/Inputs!$C$13)+$C$40/100,0.01)*SQRT($C$41))-(MAX(SQRT((Inputs!$C$21+Inputs!$C$22*(Inputs!$C$23*(LN($C$11/D56)-Inputs!$C$24)+SQRT((LN($C$11/D56)-Inputs!$C$24)^2+Inputs!$C$25^2)))/Inputs!$C$13)+$C$40/100,0.01)*SQRT($C$41))),$C$11*NORMSDIST((MAX(SQRT((Inputs!$C$21+Inputs!$C$22*(Inputs!$C$23*(LN($C$11/D56)-Inputs!$C$24)+SQRT((LN($C$11/D56)-Inputs!$C$24)^2+Inputs!$C$25^2)))/Inputs!$C$13)+$C$40/100,0.01)*SQRT($C$41))-(LN(D56/$C$11)+(MAX(SQRT((Inputs!$C$21+Inputs!$C$22*(Inputs!$C$23*(LN($C$11/D56)-Inputs!$C$24)+SQRT((LN($C$11/D56)-Inputs!$C$24)^2+Inputs!$C$25^2)))/Inputs!$C$13)+$C$40/100,0.01)*SQRT($C$41))^2/2)/(MAX(SQRT((Inputs!$C$21+Inputs!$C$22*(Inputs!$C$23*(LN($C$11/D56)-Inputs!$C$24)+SQRT((LN($C$11/D56)-Inputs!$C$24)^2+Inputs!$C$25^2)))/Inputs!$C$13)+$C$40/100,0.01)*SQRT($C$41)))-D56*NORMSDIST(-(LN(D56/$C$11)+(MAX(SQRT((Inputs!$C$21+Inputs!$C$22*(Inputs!$C$23*(LN($C$11/D56)-Inputs!$C$24)+SQRT((LN($C$11/D56)-Inputs!$C$24)^2+Inputs!$C$25^2)))/Inputs!$C$13)+$C$40/100,0.01)*SQRT($C$41))^2/2)/(MAX(SQRT((Inputs!$C$21+Inputs!$C$22*(Inputs!$C$23*(LN($C$11/D56)-Inputs!$C$24)+SQRT((LN($C$11/D56)-Inputs!$C$24)^2+Inputs!$C$25^2)))/Inputs!$C$13)+$C$40/100,0.01)*SQRT($C$41))))*$E$11</f>
        <v>0</v>
      </c>
      <c r="H56" s="17" t="n">
        <f aca="false">E56+F56+G56</f>
        <v>-33.8927218213319</v>
      </c>
      <c r="I56" s="33" t="n">
        <f aca="false">Inputs!$C$28*(1+Inputs!$C$29*B56)/1000000</f>
        <v>537.5</v>
      </c>
      <c r="J56" s="33" t="n">
        <f aca="false">(H56-Pricer!$D$23)*Inputs!$C$31*Inputs!$C$30/1000000</f>
        <v>-31.4352293796095</v>
      </c>
      <c r="K56" s="33" t="n">
        <f aca="false">I56+J56</f>
        <v>506.064770620391</v>
      </c>
      <c r="L56" s="33" t="n">
        <f aca="false">K56-I56</f>
        <v>-31.4352293796095</v>
      </c>
    </row>
    <row r="57" customFormat="false" ht="15" hidden="false" customHeight="false" outlineLevel="0" collapsed="false">
      <c r="B57" s="47" t="n">
        <v>0.1</v>
      </c>
      <c r="C57" s="17" t="n">
        <f aca="false">Inputs!$C$14*(1+B57)</f>
        <v>617.49182</v>
      </c>
      <c r="D57" s="17" t="n">
        <f aca="false">C57*EXP((Inputs!$C$15-Inputs!$C$16)*$C$41)</f>
        <v>620.14526916412</v>
      </c>
      <c r="E57" s="17" t="n">
        <f aca="false">EXP(-Inputs!$C$15*$C$41)*IF($D$9="C",D57*NORMSDIST((LN(D57/$C$9)+(MAX(SQRT((Inputs!$C$21+Inputs!$C$22*(Inputs!$C$23*(LN($C$9/D57)-Inputs!$C$24)+SQRT((LN($C$9/D57)-Inputs!$C$24)^2+Inputs!$C$25^2)))/Inputs!$C$13)+$C$40/100,0.01)*SQRT($C$41))^2/2)/(MAX(SQRT((Inputs!$C$21+Inputs!$C$22*(Inputs!$C$23*(LN($C$9/D57)-Inputs!$C$24)+SQRT((LN($C$9/D57)-Inputs!$C$24)^2+Inputs!$C$25^2)))/Inputs!$C$13)+$C$40/100,0.01)*SQRT($C$41)))-$C$9*NORMSDIST((LN(D57/$C$9)+(MAX(SQRT((Inputs!$C$21+Inputs!$C$22*(Inputs!$C$23*(LN($C$9/D57)-Inputs!$C$24)+SQRT((LN($C$9/D57)-Inputs!$C$24)^2+Inputs!$C$25^2)))/Inputs!$C$13)+$C$40/100,0.01)*SQRT($C$41))^2/2)/(MAX(SQRT((Inputs!$C$21+Inputs!$C$22*(Inputs!$C$23*(LN($C$9/D57)-Inputs!$C$24)+SQRT((LN($C$9/D57)-Inputs!$C$24)^2+Inputs!$C$25^2)))/Inputs!$C$13)+$C$40/100,0.01)*SQRT($C$41))-(MAX(SQRT((Inputs!$C$21+Inputs!$C$22*(Inputs!$C$23*(LN($C$9/D57)-Inputs!$C$24)+SQRT((LN($C$9/D57)-Inputs!$C$24)^2+Inputs!$C$25^2)))/Inputs!$C$13)+$C$40/100,0.01)*SQRT($C$41))),$C$9*NORMSDIST((MAX(SQRT((Inputs!$C$21+Inputs!$C$22*(Inputs!$C$23*(LN($C$9/D57)-Inputs!$C$24)+SQRT((LN($C$9/D57)-Inputs!$C$24)^2+Inputs!$C$25^2)))/Inputs!$C$13)+$C$40/100,0.01)*SQRT($C$41))-(LN(D57/$C$9)+(MAX(SQRT((Inputs!$C$21+Inputs!$C$22*(Inputs!$C$23*(LN($C$9/D57)-Inputs!$C$24)+SQRT((LN($C$9/D57)-Inputs!$C$24)^2+Inputs!$C$25^2)))/Inputs!$C$13)+$C$40/100,0.01)*SQRT($C$41))^2/2)/(MAX(SQRT((Inputs!$C$21+Inputs!$C$22*(Inputs!$C$23*(LN($C$9/D57)-Inputs!$C$24)+SQRT((LN($C$9/D57)-Inputs!$C$24)^2+Inputs!$C$25^2)))/Inputs!$C$13)+$C$40/100,0.01)*SQRT($C$41)))-D57*NORMSDIST(-(LN(D57/$C$9)+(MAX(SQRT((Inputs!$C$21+Inputs!$C$22*(Inputs!$C$23*(LN($C$9/D57)-Inputs!$C$24)+SQRT((LN($C$9/D57)-Inputs!$C$24)^2+Inputs!$C$25^2)))/Inputs!$C$13)+$C$40/100,0.01)*SQRT($C$41))^2/2)/(MAX(SQRT((Inputs!$C$21+Inputs!$C$22*(Inputs!$C$23*(LN($C$9/D57)-Inputs!$C$24)+SQRT((LN($C$9/D57)-Inputs!$C$24)^2+Inputs!$C$25^2)))/Inputs!$C$13)+$C$40/100,0.01)*SQRT($C$41))))*$E$9</f>
        <v>12.3488872173044</v>
      </c>
      <c r="F57" s="17" t="n">
        <f aca="false">EXP(-Inputs!$C$15*$C$41)*IF($D$10="C",D57*NORMSDIST((LN(D57/$C$10)+(MAX(SQRT((Inputs!$C$21+Inputs!$C$22*(Inputs!$C$23*(LN($C$10/D57)-Inputs!$C$24)+SQRT((LN($C$10/D57)-Inputs!$C$24)^2+Inputs!$C$25^2)))/Inputs!$C$13)+$C$40/100,0.01)*SQRT($C$41))^2/2)/(MAX(SQRT((Inputs!$C$21+Inputs!$C$22*(Inputs!$C$23*(LN($C$10/D57)-Inputs!$C$24)+SQRT((LN($C$10/D57)-Inputs!$C$24)^2+Inputs!$C$25^2)))/Inputs!$C$13)+$C$40/100,0.01)*SQRT($C$41)))-$C$10*NORMSDIST((LN(D57/$C$10)+(MAX(SQRT((Inputs!$C$21+Inputs!$C$22*(Inputs!$C$23*(LN($C$10/D57)-Inputs!$C$24)+SQRT((LN($C$10/D57)-Inputs!$C$24)^2+Inputs!$C$25^2)))/Inputs!$C$13)+$C$40/100,0.01)*SQRT($C$41))^2/2)/(MAX(SQRT((Inputs!$C$21+Inputs!$C$22*(Inputs!$C$23*(LN($C$10/D57)-Inputs!$C$24)+SQRT((LN($C$10/D57)-Inputs!$C$24)^2+Inputs!$C$25^2)))/Inputs!$C$13)+$C$40/100,0.01)*SQRT($C$41))-(MAX(SQRT((Inputs!$C$21+Inputs!$C$22*(Inputs!$C$23*(LN($C$10/D57)-Inputs!$C$24)+SQRT((LN($C$10/D57)-Inputs!$C$24)^2+Inputs!$C$25^2)))/Inputs!$C$13)+$C$40/100,0.01)*SQRT($C$41))),$C$10*NORMSDIST((MAX(SQRT((Inputs!$C$21+Inputs!$C$22*(Inputs!$C$23*(LN($C$10/D57)-Inputs!$C$24)+SQRT((LN($C$10/D57)-Inputs!$C$24)^2+Inputs!$C$25^2)))/Inputs!$C$13)+$C$40/100,0.01)*SQRT($C$41))-(LN(D57/$C$10)+(MAX(SQRT((Inputs!$C$21+Inputs!$C$22*(Inputs!$C$23*(LN($C$10/D57)-Inputs!$C$24)+SQRT((LN($C$10/D57)-Inputs!$C$24)^2+Inputs!$C$25^2)))/Inputs!$C$13)+$C$40/100,0.01)*SQRT($C$41))^2/2)/(MAX(SQRT((Inputs!$C$21+Inputs!$C$22*(Inputs!$C$23*(LN($C$10/D57)-Inputs!$C$24)+SQRT((LN($C$10/D57)-Inputs!$C$24)^2+Inputs!$C$25^2)))/Inputs!$C$13)+$C$40/100,0.01)*SQRT($C$41)))-D57*NORMSDIST(-(LN(D57/$C$10)+(MAX(SQRT((Inputs!$C$21+Inputs!$C$22*(Inputs!$C$23*(LN($C$10/D57)-Inputs!$C$24)+SQRT((LN($C$10/D57)-Inputs!$C$24)^2+Inputs!$C$25^2)))/Inputs!$C$13)+$C$40/100,0.01)*SQRT($C$41))^2/2)/(MAX(SQRT((Inputs!$C$21+Inputs!$C$22*(Inputs!$C$23*(LN($C$10/D57)-Inputs!$C$24)+SQRT((LN($C$10/D57)-Inputs!$C$24)^2+Inputs!$C$25^2)))/Inputs!$C$13)+$C$40/100,0.01)*SQRT($C$41))))*$E$10</f>
        <v>-58.5736230695555</v>
      </c>
      <c r="G57" s="17" t="n">
        <f aca="false">EXP(-Inputs!$C$15*$C$41)*IF($D$11="C",D57*NORMSDIST((LN(D57/$C$11)+(MAX(SQRT((Inputs!$C$21+Inputs!$C$22*(Inputs!$C$23*(LN($C$11/D57)-Inputs!$C$24)+SQRT((LN($C$11/D57)-Inputs!$C$24)^2+Inputs!$C$25^2)))/Inputs!$C$13)+$C$40/100,0.01)*SQRT($C$41))^2/2)/(MAX(SQRT((Inputs!$C$21+Inputs!$C$22*(Inputs!$C$23*(LN($C$11/D57)-Inputs!$C$24)+SQRT((LN($C$11/D57)-Inputs!$C$24)^2+Inputs!$C$25^2)))/Inputs!$C$13)+$C$40/100,0.01)*SQRT($C$41)))-$C$11*NORMSDIST((LN(D57/$C$11)+(MAX(SQRT((Inputs!$C$21+Inputs!$C$22*(Inputs!$C$23*(LN($C$11/D57)-Inputs!$C$24)+SQRT((LN($C$11/D57)-Inputs!$C$24)^2+Inputs!$C$25^2)))/Inputs!$C$13)+$C$40/100,0.01)*SQRT($C$41))^2/2)/(MAX(SQRT((Inputs!$C$21+Inputs!$C$22*(Inputs!$C$23*(LN($C$11/D57)-Inputs!$C$24)+SQRT((LN($C$11/D57)-Inputs!$C$24)^2+Inputs!$C$25^2)))/Inputs!$C$13)+$C$40/100,0.01)*SQRT($C$41))-(MAX(SQRT((Inputs!$C$21+Inputs!$C$22*(Inputs!$C$23*(LN($C$11/D57)-Inputs!$C$24)+SQRT((LN($C$11/D57)-Inputs!$C$24)^2+Inputs!$C$25^2)))/Inputs!$C$13)+$C$40/100,0.01)*SQRT($C$41))),$C$11*NORMSDIST((MAX(SQRT((Inputs!$C$21+Inputs!$C$22*(Inputs!$C$23*(LN($C$11/D57)-Inputs!$C$24)+SQRT((LN($C$11/D57)-Inputs!$C$24)^2+Inputs!$C$25^2)))/Inputs!$C$13)+$C$40/100,0.01)*SQRT($C$41))-(LN(D57/$C$11)+(MAX(SQRT((Inputs!$C$21+Inputs!$C$22*(Inputs!$C$23*(LN($C$11/D57)-Inputs!$C$24)+SQRT((LN($C$11/D57)-Inputs!$C$24)^2+Inputs!$C$25^2)))/Inputs!$C$13)+$C$40/100,0.01)*SQRT($C$41))^2/2)/(MAX(SQRT((Inputs!$C$21+Inputs!$C$22*(Inputs!$C$23*(LN($C$11/D57)-Inputs!$C$24)+SQRT((LN($C$11/D57)-Inputs!$C$24)^2+Inputs!$C$25^2)))/Inputs!$C$13)+$C$40/100,0.01)*SQRT($C$41)))-D57*NORMSDIST(-(LN(D57/$C$11)+(MAX(SQRT((Inputs!$C$21+Inputs!$C$22*(Inputs!$C$23*(LN($C$11/D57)-Inputs!$C$24)+SQRT((LN($C$11/D57)-Inputs!$C$24)^2+Inputs!$C$25^2)))/Inputs!$C$13)+$C$40/100,0.01)*SQRT($C$41))^2/2)/(MAX(SQRT((Inputs!$C$21+Inputs!$C$22*(Inputs!$C$23*(LN($C$11/D57)-Inputs!$C$24)+SQRT((LN($C$11/D57)-Inputs!$C$24)^2+Inputs!$C$25^2)))/Inputs!$C$13)+$C$40/100,0.01)*SQRT($C$41))))*$E$11</f>
        <v>0</v>
      </c>
      <c r="H57" s="17" t="n">
        <f aca="false">E57+F57+G57</f>
        <v>-46.2247358522511</v>
      </c>
      <c r="I57" s="33" t="n">
        <f aca="false">Inputs!$C$28*(1+Inputs!$C$29*B57)/1000000</f>
        <v>550</v>
      </c>
      <c r="J57" s="33" t="n">
        <f aca="false">(H57-Pricer!$D$23)*Inputs!$C$31*Inputs!$C$30/1000000</f>
        <v>-42.4193549944323</v>
      </c>
      <c r="K57" s="33" t="n">
        <f aca="false">I57+J57</f>
        <v>507.580645005568</v>
      </c>
      <c r="L57" s="33" t="n">
        <f aca="false">K57-I57</f>
        <v>-42.4193549944323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S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7"/>
    <col collapsed="false" customWidth="true" hidden="false" outlineLevel="0" max="2" min="2" style="0" width="50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7" min="5" style="0" width="11"/>
    <col collapsed="false" customWidth="true" hidden="false" outlineLevel="0" max="10" min="8" style="0" width="10"/>
    <col collapsed="false" customWidth="true" hidden="false" outlineLevel="0" max="14" min="11" style="0" width="12"/>
    <col collapsed="false" customWidth="true" hidden="false" outlineLevel="0" max="15" min="15" style="0" width="8"/>
    <col collapsed="false" customWidth="true" hidden="false" outlineLevel="0" max="18" min="16" style="0" width="12"/>
    <col collapsed="false" customWidth="true" hidden="false" outlineLevel="0" max="19" min="19" style="0" width="11"/>
  </cols>
  <sheetData>
    <row r="2" customFormat="false" ht="17.35" hidden="false" customHeight="false" outlineLevel="0" collapsed="false">
      <c r="B2" s="1" t="s">
        <v>10</v>
      </c>
    </row>
    <row r="3" customFormat="false" ht="15" hidden="false" customHeight="false" outlineLevel="0" collapsed="false">
      <c r="B3" s="2" t="s">
        <v>126</v>
      </c>
    </row>
    <row r="5" customFormat="false" ht="15" hidden="false" customHeight="false" outlineLevel="0" collapsed="false">
      <c r="B5" s="40" t="str">
        <f aca="false">Inputs!D5&amp;" · "&amp;Inputs!D6</f>
        <v>Collar 539/583 · Sell at VIX trigger</v>
      </c>
    </row>
    <row r="6" customFormat="false" ht="15" hidden="false" customHeight="false" outlineLevel="0" collapsed="false">
      <c r="B6" s="8" t="s">
        <v>98</v>
      </c>
      <c r="C6" s="9" t="s">
        <v>27</v>
      </c>
    </row>
    <row r="7" customFormat="false" ht="15" hidden="false" customHeight="false" outlineLevel="0" collapsed="false">
      <c r="B7" s="11" t="s">
        <v>127</v>
      </c>
      <c r="C7" s="48" t="n">
        <f aca="false">SUMPRODUCT((Inputs!$C$34:$C$41=Inputs!$C$5)*(Inputs!$D$34:$D$41=475)*(Inputs!$E$34:$E$41="P")*Inputs!$F$34:$F$41)</f>
        <v>0</v>
      </c>
    </row>
    <row r="8" customFormat="false" ht="15" hidden="false" customHeight="false" outlineLevel="0" collapsed="false">
      <c r="B8" s="11" t="s">
        <v>128</v>
      </c>
      <c r="C8" s="48" t="n">
        <f aca="false">SUMPRODUCT((Inputs!$C$34:$C$41=Inputs!$C$5)*(Inputs!$D$34:$D$41=539)*(Inputs!$E$34:$E$41="P")*Inputs!$F$34:$F$41)</f>
        <v>1</v>
      </c>
    </row>
    <row r="9" customFormat="false" ht="15" hidden="false" customHeight="false" outlineLevel="0" collapsed="false">
      <c r="B9" s="11" t="s">
        <v>129</v>
      </c>
      <c r="C9" s="48" t="n">
        <f aca="false">SUMPRODUCT((Inputs!$C$34:$C$41=Inputs!$C$5)*(Inputs!$D$34:$D$41=583)*(Inputs!$E$34:$E$41="C")*Inputs!$F$34:$F$41)</f>
        <v>-1</v>
      </c>
    </row>
    <row r="10" customFormat="false" ht="15" hidden="false" customHeight="false" outlineLevel="0" collapsed="false">
      <c r="B10" s="11" t="s">
        <v>130</v>
      </c>
      <c r="C10" s="32" t="n">
        <f aca="false">Pricer!$D$23</f>
        <v>1.4</v>
      </c>
    </row>
    <row r="11" customFormat="false" ht="15" hidden="false" customHeight="false" outlineLevel="0" collapsed="false">
      <c r="B11" s="11" t="s">
        <v>93</v>
      </c>
      <c r="C11" s="33" t="n">
        <f aca="false">C10*Inputs!$C$31*Inputs!$C$30/1000000</f>
        <v>1.24698008145274</v>
      </c>
    </row>
    <row r="12" customFormat="false" ht="15" hidden="false" customHeight="false" outlineLevel="0" collapsed="false">
      <c r="B12" s="11" t="s">
        <v>131</v>
      </c>
      <c r="C12" s="13" t="n">
        <f aca="false">IFERROR(MATCH(1,$J$22:$J$63,0),0)</f>
        <v>4</v>
      </c>
    </row>
    <row r="13" customFormat="false" ht="15" hidden="false" customHeight="false" outlineLevel="0" collapsed="false">
      <c r="B13" s="11" t="s">
        <v>132</v>
      </c>
      <c r="C13" s="49" t="n">
        <f aca="false">IF(C12=0,"not triggered",INDEX($B$22:$B$63,C12))</f>
        <v>45751</v>
      </c>
    </row>
    <row r="14" customFormat="false" ht="15" hidden="false" customHeight="false" outlineLevel="0" collapsed="false">
      <c r="B14" s="11" t="s">
        <v>133</v>
      </c>
      <c r="C14" s="17" t="n">
        <f aca="false">IF(C12=0,0,INDEX($I$22:$I$63,C12))</f>
        <v>38.710004</v>
      </c>
    </row>
    <row r="15" customFormat="false" ht="15" hidden="false" customHeight="false" outlineLevel="0" collapsed="false">
      <c r="B15" s="11" t="s">
        <v>134</v>
      </c>
      <c r="C15" s="33" t="n">
        <f aca="false">INDEX($N$22:$N$63,MATCH(MIN($C$22:$C$63),$C$22:$C$63,0))</f>
        <v>477.05770774421</v>
      </c>
    </row>
    <row r="16" customFormat="false" ht="15" hidden="false" customHeight="false" outlineLevel="0" collapsed="false">
      <c r="B16" s="11" t="s">
        <v>135</v>
      </c>
      <c r="C16" s="43" t="n">
        <f aca="false">MIN($P$22:$P$63)</f>
        <v>-0.0542748336321568</v>
      </c>
    </row>
    <row r="17" customFormat="false" ht="15" hidden="false" customHeight="false" outlineLevel="0" collapsed="false">
      <c r="B17" s="5" t="s">
        <v>136</v>
      </c>
      <c r="C17" s="50" t="n">
        <f aca="false">$N$63</f>
        <v>557.587057914387</v>
      </c>
    </row>
    <row r="18" customFormat="false" ht="15" hidden="false" customHeight="false" outlineLevel="0" collapsed="false">
      <c r="B18" s="11" t="s">
        <v>137</v>
      </c>
      <c r="C18" s="33" t="n">
        <f aca="false">$K$63</f>
        <v>524.355035180871</v>
      </c>
    </row>
    <row r="19" customFormat="false" ht="15" hidden="false" customHeight="false" outlineLevel="0" collapsed="false">
      <c r="B19" s="35" t="s">
        <v>138</v>
      </c>
      <c r="C19" s="51" t="n">
        <f aca="false">C17-C18</f>
        <v>33.2320227335157</v>
      </c>
    </row>
    <row r="21" customFormat="false" ht="27" hidden="false" customHeight="true" outlineLevel="0" collapsed="false">
      <c r="B21" s="8" t="s">
        <v>139</v>
      </c>
      <c r="C21" s="9" t="s">
        <v>120</v>
      </c>
      <c r="D21" s="9" t="s">
        <v>140</v>
      </c>
      <c r="E21" s="9" t="s">
        <v>141</v>
      </c>
      <c r="F21" s="9" t="s">
        <v>142</v>
      </c>
      <c r="G21" s="9" t="s">
        <v>143</v>
      </c>
      <c r="H21" s="9" t="s">
        <v>144</v>
      </c>
      <c r="I21" s="9" t="s">
        <v>145</v>
      </c>
      <c r="J21" s="9" t="s">
        <v>146</v>
      </c>
      <c r="K21" s="9" t="s">
        <v>109</v>
      </c>
      <c r="L21" s="9" t="s">
        <v>147</v>
      </c>
      <c r="M21" s="9" t="s">
        <v>148</v>
      </c>
      <c r="N21" s="9" t="s">
        <v>149</v>
      </c>
      <c r="O21" s="9" t="s">
        <v>150</v>
      </c>
      <c r="P21" s="9" t="s">
        <v>151</v>
      </c>
      <c r="Q21" s="9" t="s">
        <v>152</v>
      </c>
      <c r="R21" s="9" t="s">
        <v>153</v>
      </c>
      <c r="S21" s="9" t="s">
        <v>154</v>
      </c>
    </row>
    <row r="22" customFormat="false" ht="15" hidden="false" customHeight="false" outlineLevel="0" collapsed="false">
      <c r="B22" s="52" t="n">
        <v>45748</v>
      </c>
      <c r="C22" s="15" t="n">
        <v>561.3562</v>
      </c>
      <c r="D22" s="21" t="n">
        <v>21.77</v>
      </c>
      <c r="E22" s="15" t="n">
        <v>1.871923</v>
      </c>
      <c r="F22" s="15" t="n">
        <v>8.076981</v>
      </c>
      <c r="G22" s="15" t="n">
        <v>6.812081</v>
      </c>
      <c r="H22" s="17" t="n">
        <f aca="false">$C$7*E22+$C$8*F22+$C$9*G22</f>
        <v>1.2649</v>
      </c>
      <c r="I22" s="17" t="n">
        <f aca="false">H22-(ABS($C$7)*Q22+ABS($C$8)*R22+ABS($C$9)*S22)</f>
        <v>1.2099</v>
      </c>
      <c r="J22" s="13" t="n">
        <f aca="false">IF(D22&gt;=Inputs!$C$7,1,0)</f>
        <v>0</v>
      </c>
      <c r="K22" s="33" t="n">
        <f aca="false">Inputs!$C$28*(1+Inputs!$C$29*(C22/Inputs!$C$14-1))/1000000</f>
        <v>500</v>
      </c>
      <c r="L22" s="33" t="n">
        <f aca="false">K22+($H22-$C$10)*Inputs!$C$31*Inputs!$C$30/1000000</f>
        <v>499.87966642214</v>
      </c>
      <c r="M22" s="33" t="n">
        <f aca="false">IF(J22=1,K22+($C$14-$C$10)*Inputs!$C$31*Inputs!$C$30/1000000,L22)</f>
        <v>499.87966642214</v>
      </c>
      <c r="N22" s="33" t="n">
        <f aca="false">IF(Inputs!$C$6=1,L22,M22)</f>
        <v>499.87966642214</v>
      </c>
      <c r="O22" s="33" t="n">
        <f aca="false">MAX(Inputs!$C$28/1000000,N22)</f>
        <v>500</v>
      </c>
      <c r="P22" s="43" t="n">
        <f aca="false">N22/O22-1</f>
        <v>-0.000240667155720464</v>
      </c>
      <c r="Q22" s="53" t="n">
        <v>0.01</v>
      </c>
      <c r="R22" s="53" t="n">
        <v>0.03</v>
      </c>
      <c r="S22" s="53" t="n">
        <v>0.025</v>
      </c>
    </row>
    <row r="23" customFormat="false" ht="15" hidden="false" customHeight="false" outlineLevel="0" collapsed="false">
      <c r="B23" s="52" t="n">
        <v>45749</v>
      </c>
      <c r="C23" s="15" t="n">
        <v>564.7015</v>
      </c>
      <c r="D23" s="21" t="n">
        <v>21.51</v>
      </c>
      <c r="E23" s="15" t="n">
        <v>1.644479</v>
      </c>
      <c r="F23" s="15" t="n">
        <v>6.991375</v>
      </c>
      <c r="G23" s="15" t="n">
        <v>7.928364</v>
      </c>
      <c r="H23" s="17" t="n">
        <f aca="false">$C$7*E23+$C$8*F23+$C$9*G23</f>
        <v>-0.936989000000001</v>
      </c>
      <c r="I23" s="17" t="n">
        <f aca="false">H23-(ABS($C$7)*Q23+ABS($C$8)*R23+ABS($C$9)*S23)</f>
        <v>-1.051989</v>
      </c>
      <c r="J23" s="13" t="n">
        <f aca="false">IF(OR(J22=1,D23&gt;=Inputs!$C$7),1,0)</f>
        <v>0</v>
      </c>
      <c r="K23" s="33" t="n">
        <f aca="false">Inputs!$C$28*(1+Inputs!$C$29*(C23/Inputs!$C$14-1))/1000000</f>
        <v>502.979658904631</v>
      </c>
      <c r="L23" s="33" t="n">
        <f aca="false">K23+($H23-$C$10)*Inputs!$C$31*Inputs!$C$30/1000000</f>
        <v>500.898102666364</v>
      </c>
      <c r="M23" s="33" t="n">
        <f aca="false">IF(J23=1,K23+($C$14-$C$10)*Inputs!$C$31*Inputs!$C$30/1000000,L23)</f>
        <v>500.898102666364</v>
      </c>
      <c r="N23" s="33" t="n">
        <f aca="false">IF(Inputs!$C$6=1,L23,M23)</f>
        <v>500.898102666364</v>
      </c>
      <c r="O23" s="33" t="n">
        <f aca="false">MAX(O22,N23)</f>
        <v>500.898102666364</v>
      </c>
      <c r="P23" s="43" t="n">
        <f aca="false">N23/O23-1</f>
        <v>0</v>
      </c>
      <c r="Q23" s="53" t="n">
        <v>0.02</v>
      </c>
      <c r="R23" s="53" t="n">
        <v>0.065</v>
      </c>
      <c r="S23" s="53" t="n">
        <v>0.05</v>
      </c>
    </row>
    <row r="24" customFormat="false" ht="15" hidden="false" customHeight="false" outlineLevel="0" collapsed="false">
      <c r="B24" s="52" t="n">
        <v>45750</v>
      </c>
      <c r="C24" s="15" t="n">
        <v>538.2138</v>
      </c>
      <c r="D24" s="21" t="n">
        <v>30.02</v>
      </c>
      <c r="E24" s="15" t="n">
        <v>4.890558</v>
      </c>
      <c r="F24" s="15" t="n">
        <v>18.677376</v>
      </c>
      <c r="G24" s="15" t="n">
        <v>3.254931</v>
      </c>
      <c r="H24" s="17" t="n">
        <f aca="false">$C$7*E24+$C$8*F24+$C$9*G24</f>
        <v>15.422445</v>
      </c>
      <c r="I24" s="17" t="n">
        <f aca="false">H24-(ABS($C$7)*Q24+ABS($C$8)*R24+ABS($C$9)*S24)</f>
        <v>15.327445</v>
      </c>
      <c r="J24" s="13" t="n">
        <f aca="false">IF(OR(J23=1,D24&gt;=Inputs!$C$7),1,0)</f>
        <v>0</v>
      </c>
      <c r="K24" s="33" t="n">
        <f aca="false">Inputs!$C$28*(1+Inputs!$C$29*(C24/Inputs!$C$14-1))/1000000</f>
        <v>479.387062973563</v>
      </c>
      <c r="L24" s="33" t="n">
        <f aca="false">K24+($H24-$C$10)*Inputs!$C$31*Inputs!$C$30/1000000</f>
        <v>491.876855550896</v>
      </c>
      <c r="M24" s="33" t="n">
        <f aca="false">IF(J24=1,K24+($C$14-$C$10)*Inputs!$C$31*Inputs!$C$30/1000000,L24)</f>
        <v>491.876855550896</v>
      </c>
      <c r="N24" s="33" t="n">
        <f aca="false">IF(Inputs!$C$6=1,L24,M24)</f>
        <v>491.876855550896</v>
      </c>
      <c r="O24" s="33" t="n">
        <f aca="false">MAX(O23,N24)</f>
        <v>500.898102666364</v>
      </c>
      <c r="P24" s="43" t="n">
        <f aca="false">N24/O24-1</f>
        <v>-0.0180101443136764</v>
      </c>
      <c r="Q24" s="53" t="n">
        <v>0.035</v>
      </c>
      <c r="R24" s="53" t="n">
        <v>0.06</v>
      </c>
      <c r="S24" s="53" t="n">
        <v>0.035</v>
      </c>
    </row>
    <row r="25" customFormat="false" ht="15" hidden="false" customHeight="false" outlineLevel="0" collapsed="false">
      <c r="B25" s="52" t="n">
        <v>45751</v>
      </c>
      <c r="C25" s="15" t="n">
        <v>505.6576</v>
      </c>
      <c r="D25" s="21" t="n">
        <v>45.31</v>
      </c>
      <c r="E25" s="15" t="n">
        <v>14.903621</v>
      </c>
      <c r="F25" s="15" t="n">
        <v>41.535512</v>
      </c>
      <c r="G25" s="15" t="n">
        <v>1.700508</v>
      </c>
      <c r="H25" s="17" t="n">
        <f aca="false">$C$7*E25+$C$8*F25+$C$9*G25</f>
        <v>39.835004</v>
      </c>
      <c r="I25" s="17" t="n">
        <f aca="false">H25-(ABS($C$7)*Q25+ABS($C$8)*R25+ABS($C$9)*S25)</f>
        <v>38.710004</v>
      </c>
      <c r="J25" s="13" t="n">
        <f aca="false">IF(OR(J24=1,D25&gt;=Inputs!$C$7),1,0)</f>
        <v>1</v>
      </c>
      <c r="K25" s="33" t="n">
        <f aca="false">Inputs!$C$28*(1+Inputs!$C$29*(C25/Inputs!$C$14-1))/1000000</f>
        <v>450.389253739426</v>
      </c>
      <c r="L25" s="33" t="n">
        <f aca="false">K25+($H25-$C$10)*Inputs!$C$31*Inputs!$C$30/1000000</f>
        <v>484.623314038395</v>
      </c>
      <c r="M25" s="33" t="n">
        <f aca="false">IF(J25=1,K25+($C$14-$C$10)*Inputs!$C$31*Inputs!$C$30/1000000,L25)</f>
        <v>483.621276472942</v>
      </c>
      <c r="N25" s="33" t="n">
        <f aca="false">IF(Inputs!$C$6=1,L25,M25)</f>
        <v>483.621276472942</v>
      </c>
      <c r="O25" s="33" t="n">
        <f aca="false">MAX(O24,N25)</f>
        <v>500.898102666364</v>
      </c>
      <c r="P25" s="43" t="n">
        <f aca="false">N25/O25-1</f>
        <v>-0.0344916982145767</v>
      </c>
      <c r="Q25" s="53" t="n">
        <v>0.17</v>
      </c>
      <c r="R25" s="53" t="n">
        <v>1.045</v>
      </c>
      <c r="S25" s="53" t="n">
        <v>0.08</v>
      </c>
    </row>
    <row r="26" customFormat="false" ht="15" hidden="false" customHeight="false" outlineLevel="0" collapsed="false">
      <c r="B26" s="52" t="n">
        <v>45754</v>
      </c>
      <c r="C26" s="15" t="n">
        <v>507.9101</v>
      </c>
      <c r="D26" s="21" t="n">
        <v>46.98</v>
      </c>
      <c r="E26" s="15" t="n">
        <v>14.696014</v>
      </c>
      <c r="F26" s="15" t="n">
        <v>40.1341</v>
      </c>
      <c r="G26" s="15" t="n">
        <v>1.660994</v>
      </c>
      <c r="H26" s="17" t="n">
        <f aca="false">$C$7*E26+$C$8*F26+$C$9*G26</f>
        <v>38.473106</v>
      </c>
      <c r="I26" s="17" t="n">
        <f aca="false">H26-(ABS($C$7)*Q26+ABS($C$8)*R26+ABS($C$9)*S26)</f>
        <v>37.753106</v>
      </c>
      <c r="J26" s="13" t="n">
        <f aca="false">IF(OR(J25=1,D26&gt;=Inputs!$C$7),1,0)</f>
        <v>1</v>
      </c>
      <c r="K26" s="33" t="n">
        <f aca="false">Inputs!$C$28*(1+Inputs!$C$29*(C26/Inputs!$C$14-1))/1000000</f>
        <v>452.395555620478</v>
      </c>
      <c r="L26" s="33" t="n">
        <f aca="false">K26+($H26-$C$10)*Inputs!$C$31*Inputs!$C$30/1000000</f>
        <v>485.416573291611</v>
      </c>
      <c r="M26" s="33" t="n">
        <f aca="false">IF(J26=1,K26+($C$14-$C$10)*Inputs!$C$31*Inputs!$C$30/1000000,L26)</f>
        <v>485.627578353994</v>
      </c>
      <c r="N26" s="33" t="n">
        <f aca="false">IF(Inputs!$C$6=1,L26,M26)</f>
        <v>485.627578353994</v>
      </c>
      <c r="O26" s="33" t="n">
        <f aca="false">MAX(O25,N26)</f>
        <v>500.898102666364</v>
      </c>
      <c r="P26" s="43" t="n">
        <f aca="false">N26/O26-1</f>
        <v>-0.0304862889898826</v>
      </c>
      <c r="Q26" s="53" t="n">
        <v>0.14</v>
      </c>
      <c r="R26" s="53" t="n">
        <v>0.645</v>
      </c>
      <c r="S26" s="53" t="n">
        <v>0.075</v>
      </c>
    </row>
    <row r="27" customFormat="false" ht="15" hidden="false" customHeight="false" outlineLevel="0" collapsed="false">
      <c r="B27" s="52" t="n">
        <v>45755</v>
      </c>
      <c r="C27" s="15" t="n">
        <v>498.2886</v>
      </c>
      <c r="D27" s="21" t="n">
        <v>52.33</v>
      </c>
      <c r="E27" s="15" t="n">
        <v>18.865362</v>
      </c>
      <c r="F27" s="15" t="n">
        <v>47.446801</v>
      </c>
      <c r="G27" s="15" t="n">
        <v>1.133977</v>
      </c>
      <c r="H27" s="17" t="n">
        <f aca="false">$C$7*E27+$C$8*F27+$C$9*G27</f>
        <v>46.312824</v>
      </c>
      <c r="I27" s="17" t="n">
        <f aca="false">H27-(ABS($C$7)*Q27+ABS($C$8)*R27+ABS($C$9)*S27)</f>
        <v>45.627824</v>
      </c>
      <c r="J27" s="13" t="n">
        <f aca="false">IF(OR(J26=1,D27&gt;=Inputs!$C$7),1,0)</f>
        <v>1</v>
      </c>
      <c r="K27" s="33" t="n">
        <f aca="false">Inputs!$C$28*(1+Inputs!$C$29*(C27/Inputs!$C$14-1))/1000000</f>
        <v>443.825685010694</v>
      </c>
      <c r="L27" s="33" t="n">
        <f aca="false">K27+($H27-$C$10)*Inputs!$C$31*Inputs!$C$30/1000000</f>
        <v>483.829539960546</v>
      </c>
      <c r="M27" s="33" t="n">
        <f aca="false">IF(J27=1,K27+($C$14-$C$10)*Inputs!$C$31*Inputs!$C$30/1000000,L27)</f>
        <v>477.05770774421</v>
      </c>
      <c r="N27" s="33" t="n">
        <f aca="false">IF(Inputs!$C$6=1,L27,M27)</f>
        <v>477.05770774421</v>
      </c>
      <c r="O27" s="33" t="n">
        <f aca="false">MAX(O26,N27)</f>
        <v>500.898102666364</v>
      </c>
      <c r="P27" s="43" t="n">
        <f aca="false">N27/O27-1</f>
        <v>-0.0475952989145861</v>
      </c>
      <c r="Q27" s="53" t="n">
        <v>0.11</v>
      </c>
      <c r="R27" s="53" t="n">
        <v>0.655</v>
      </c>
      <c r="S27" s="53" t="n">
        <v>0.03</v>
      </c>
    </row>
    <row r="28" customFormat="false" ht="15" hidden="false" customHeight="false" outlineLevel="0" collapsed="false">
      <c r="B28" s="52" t="n">
        <v>45756</v>
      </c>
      <c r="C28" s="15" t="n">
        <v>545.8682</v>
      </c>
      <c r="D28" s="21" t="n">
        <v>33.62</v>
      </c>
      <c r="E28" s="15" t="n">
        <v>5.235449</v>
      </c>
      <c r="F28" s="15" t="n">
        <v>16.276812</v>
      </c>
      <c r="G28" s="15" t="n">
        <v>4.891569</v>
      </c>
      <c r="H28" s="17" t="n">
        <f aca="false">$C$7*E28+$C$8*F28+$C$9*G28</f>
        <v>11.385243</v>
      </c>
      <c r="I28" s="17" t="n">
        <f aca="false">H28-(ABS($C$7)*Q28+ABS($C$8)*R28+ABS($C$9)*S28)</f>
        <v>11.125243</v>
      </c>
      <c r="J28" s="13" t="n">
        <f aca="false">IF(OR(J27=1,D28&gt;=Inputs!$C$7),1,0)</f>
        <v>1</v>
      </c>
      <c r="K28" s="33" t="n">
        <f aca="false">Inputs!$C$28*(1+Inputs!$C$29*(C28/Inputs!$C$14-1))/1000000</f>
        <v>486.2048374989</v>
      </c>
      <c r="L28" s="33" t="n">
        <f aca="false">K28+($H28-$C$10)*Inputs!$C$31*Inputs!$C$30/1000000</f>
        <v>495.098694019947</v>
      </c>
      <c r="M28" s="33" t="n">
        <f aca="false">IF(J28=1,K28+($C$14-$C$10)*Inputs!$C$31*Inputs!$C$30/1000000,L28)</f>
        <v>519.436860232416</v>
      </c>
      <c r="N28" s="33" t="n">
        <f aca="false">IF(Inputs!$C$6=1,L28,M28)</f>
        <v>519.436860232416</v>
      </c>
      <c r="O28" s="33" t="n">
        <f aca="false">MAX(O27,N28)</f>
        <v>519.436860232416</v>
      </c>
      <c r="P28" s="43" t="n">
        <f aca="false">N28/O28-1</f>
        <v>0</v>
      </c>
      <c r="Q28" s="53" t="n">
        <v>0.075</v>
      </c>
      <c r="R28" s="53" t="n">
        <v>0.145</v>
      </c>
      <c r="S28" s="53" t="n">
        <v>0.115</v>
      </c>
    </row>
    <row r="29" customFormat="false" ht="15" hidden="false" customHeight="false" outlineLevel="0" collapsed="false">
      <c r="B29" s="52" t="n">
        <v>45757</v>
      </c>
      <c r="C29" s="15" t="n">
        <v>527.2594</v>
      </c>
      <c r="D29" s="21" t="n">
        <v>40.72</v>
      </c>
      <c r="E29" s="15" t="n">
        <v>9.834469</v>
      </c>
      <c r="F29" s="15" t="n">
        <v>27.812032</v>
      </c>
      <c r="G29" s="15" t="n">
        <v>2.639315</v>
      </c>
      <c r="H29" s="17" t="n">
        <f aca="false">$C$7*E29+$C$8*F29+$C$9*G29</f>
        <v>25.172717</v>
      </c>
      <c r="I29" s="17" t="n">
        <f aca="false">H29-(ABS($C$7)*Q29+ABS($C$8)*R29+ABS($C$9)*S29)</f>
        <v>24.877717</v>
      </c>
      <c r="J29" s="13" t="n">
        <f aca="false">IF(OR(J28=1,D29&gt;=Inputs!$C$7),1,0)</f>
        <v>1</v>
      </c>
      <c r="K29" s="33" t="n">
        <f aca="false">Inputs!$C$28*(1+Inputs!$C$29*(C29/Inputs!$C$14-1))/1000000</f>
        <v>469.62997825623</v>
      </c>
      <c r="L29" s="33" t="n">
        <f aca="false">K29+($H29-$C$10)*Inputs!$C$31*Inputs!$C$30/1000000</f>
        <v>490.804338671239</v>
      </c>
      <c r="M29" s="33" t="n">
        <f aca="false">IF(J29=1,K29+($C$14-$C$10)*Inputs!$C$31*Inputs!$C$30/1000000,L29)</f>
        <v>502.862000989746</v>
      </c>
      <c r="N29" s="33" t="n">
        <f aca="false">IF(Inputs!$C$6=1,L29,M29)</f>
        <v>502.862000989746</v>
      </c>
      <c r="O29" s="33" t="n">
        <f aca="false">MAX(O28,N29)</f>
        <v>519.436860232416</v>
      </c>
      <c r="P29" s="43" t="n">
        <f aca="false">N29/O29-1</f>
        <v>-0.031909285827836</v>
      </c>
      <c r="Q29" s="53" t="n">
        <v>0.12</v>
      </c>
      <c r="R29" s="53" t="n">
        <v>0.21</v>
      </c>
      <c r="S29" s="53" t="n">
        <v>0.085</v>
      </c>
    </row>
    <row r="30" customFormat="false" ht="15" hidden="false" customHeight="false" outlineLevel="0" collapsed="false">
      <c r="B30" s="52" t="n">
        <v>45758</v>
      </c>
      <c r="C30" s="15" t="n">
        <v>534.7012</v>
      </c>
      <c r="D30" s="21" t="n">
        <v>37.56</v>
      </c>
      <c r="E30" s="15" t="n">
        <v>7.871458</v>
      </c>
      <c r="F30" s="15" t="n">
        <v>23.51235</v>
      </c>
      <c r="G30" s="15" t="n">
        <v>3.370227</v>
      </c>
      <c r="H30" s="17" t="n">
        <f aca="false">$C$7*E30+$C$8*F30+$C$9*G30</f>
        <v>20.142123</v>
      </c>
      <c r="I30" s="17" t="n">
        <f aca="false">H30-(ABS($C$7)*Q30+ABS($C$8)*R30+ABS($C$9)*S30)</f>
        <v>19.972123</v>
      </c>
      <c r="J30" s="13" t="n">
        <f aca="false">IF(OR(J29=1,D30&gt;=Inputs!$C$7),1,0)</f>
        <v>1</v>
      </c>
      <c r="K30" s="33" t="n">
        <f aca="false">Inputs!$C$28*(1+Inputs!$C$29*(C30/Inputs!$C$14-1))/1000000</f>
        <v>476.258389949198</v>
      </c>
      <c r="L30" s="33" t="n">
        <f aca="false">K30+($H30-$C$10)*Inputs!$C$31*Inputs!$C$30/1000000</f>
        <v>492.951999995725</v>
      </c>
      <c r="M30" s="33" t="n">
        <f aca="false">IF(J30=1,K30+($C$14-$C$10)*Inputs!$C$31*Inputs!$C$30/1000000,L30)</f>
        <v>509.490412682714</v>
      </c>
      <c r="N30" s="33" t="n">
        <f aca="false">IF(Inputs!$C$6=1,L30,M30)</f>
        <v>509.490412682714</v>
      </c>
      <c r="O30" s="33" t="n">
        <f aca="false">MAX(O29,N30)</f>
        <v>519.436860232416</v>
      </c>
      <c r="P30" s="43" t="n">
        <f aca="false">N30/O30-1</f>
        <v>-0.0191485208524701</v>
      </c>
      <c r="Q30" s="53" t="n">
        <v>0.06</v>
      </c>
      <c r="R30" s="53" t="n">
        <v>0.11</v>
      </c>
      <c r="S30" s="53" t="n">
        <v>0.06</v>
      </c>
    </row>
    <row r="31" customFormat="false" ht="15" hidden="false" customHeight="false" outlineLevel="0" collapsed="false">
      <c r="B31" s="52" t="n">
        <v>45761</v>
      </c>
      <c r="C31" s="15" t="n">
        <v>538.9491</v>
      </c>
      <c r="D31" s="21" t="n">
        <v>30.89</v>
      </c>
      <c r="E31" s="15" t="n">
        <v>4.829869</v>
      </c>
      <c r="F31" s="15" t="n">
        <v>18.067475</v>
      </c>
      <c r="G31" s="15" t="n">
        <v>2.227305</v>
      </c>
      <c r="H31" s="17" t="n">
        <f aca="false">$C$7*E31+$C$8*F31+$C$9*G31</f>
        <v>15.84017</v>
      </c>
      <c r="I31" s="17" t="n">
        <f aca="false">H31-(ABS($C$7)*Q31+ABS($C$8)*R31+ABS($C$9)*S31)</f>
        <v>15.72517</v>
      </c>
      <c r="J31" s="13" t="n">
        <f aca="false">IF(OR(J30=1,D31&gt;=Inputs!$C$7),1,0)</f>
        <v>1</v>
      </c>
      <c r="K31" s="33" t="n">
        <f aca="false">Inputs!$C$28*(1+Inputs!$C$29*(C31/Inputs!$C$14-1))/1000000</f>
        <v>480.041994726343</v>
      </c>
      <c r="L31" s="33" t="n">
        <f aca="false">K31+($H31-$C$10)*Inputs!$C$31*Inputs!$C$30/1000000</f>
        <v>492.90385498548</v>
      </c>
      <c r="M31" s="33" t="n">
        <f aca="false">IF(J31=1,K31+($C$14-$C$10)*Inputs!$C$31*Inputs!$C$30/1000000,L31)</f>
        <v>513.274017459859</v>
      </c>
      <c r="N31" s="33" t="n">
        <f aca="false">IF(Inputs!$C$6=1,L31,M31)</f>
        <v>513.274017459859</v>
      </c>
      <c r="O31" s="33" t="n">
        <f aca="false">MAX(O30,N31)</f>
        <v>519.436860232416</v>
      </c>
      <c r="P31" s="43" t="n">
        <f aca="false">N31/O31-1</f>
        <v>-0.0118644694752688</v>
      </c>
      <c r="Q31" s="53" t="n">
        <v>0.025</v>
      </c>
      <c r="R31" s="53" t="n">
        <v>0.09</v>
      </c>
      <c r="S31" s="53" t="n">
        <v>0.025</v>
      </c>
    </row>
    <row r="32" customFormat="false" ht="15" hidden="false" customHeight="false" outlineLevel="0" collapsed="false">
      <c r="B32" s="52" t="n">
        <v>45762</v>
      </c>
      <c r="C32" s="15" t="n">
        <v>538.3908</v>
      </c>
      <c r="D32" s="21" t="n">
        <v>30.12</v>
      </c>
      <c r="E32" s="15" t="n">
        <v>4.549966</v>
      </c>
      <c r="F32" s="15" t="n">
        <v>17.369403</v>
      </c>
      <c r="G32" s="15" t="n">
        <v>2.061054</v>
      </c>
      <c r="H32" s="17" t="n">
        <f aca="false">$C$7*E32+$C$8*F32+$C$9*G32</f>
        <v>15.308349</v>
      </c>
      <c r="I32" s="17" t="n">
        <f aca="false">H32-(ABS($C$7)*Q32+ABS($C$8)*R32+ABS($C$9)*S32)</f>
        <v>15.268349</v>
      </c>
      <c r="J32" s="13" t="n">
        <f aca="false">IF(OR(J31=1,D32&gt;=Inputs!$C$7),1,0)</f>
        <v>1</v>
      </c>
      <c r="K32" s="33" t="n">
        <f aca="false">Inputs!$C$28*(1+Inputs!$C$29*(C32/Inputs!$C$14-1))/1000000</f>
        <v>479.544716883861</v>
      </c>
      <c r="L32" s="33" t="n">
        <f aca="false">K32+($H32-$C$10)*Inputs!$C$31*Inputs!$C$30/1000000</f>
        <v>491.932884147356</v>
      </c>
      <c r="M32" s="33" t="n">
        <f aca="false">IF(J32=1,K32+($C$14-$C$10)*Inputs!$C$31*Inputs!$C$30/1000000,L32)</f>
        <v>512.776739617377</v>
      </c>
      <c r="N32" s="33" t="n">
        <f aca="false">IF(Inputs!$C$6=1,L32,M32)</f>
        <v>512.776739617377</v>
      </c>
      <c r="O32" s="33" t="n">
        <f aca="false">MAX(O31,N32)</f>
        <v>519.436860232416</v>
      </c>
      <c r="P32" s="43" t="n">
        <f aca="false">N32/O32-1</f>
        <v>-0.0128218097808062</v>
      </c>
      <c r="Q32" s="53" t="n">
        <v>0.02</v>
      </c>
      <c r="R32" s="53" t="n">
        <v>0.02</v>
      </c>
      <c r="S32" s="53" t="n">
        <v>0.02</v>
      </c>
    </row>
    <row r="33" customFormat="false" ht="15" hidden="false" customHeight="false" outlineLevel="0" collapsed="false">
      <c r="B33" s="52" t="n">
        <v>45763</v>
      </c>
      <c r="C33" s="15" t="n">
        <v>525.9483</v>
      </c>
      <c r="D33" s="21" t="n">
        <v>32.64</v>
      </c>
      <c r="E33" s="15" t="n">
        <v>6.396101</v>
      </c>
      <c r="F33" s="15" t="n">
        <v>24.384424</v>
      </c>
      <c r="G33" s="15" t="n">
        <v>1.313688</v>
      </c>
      <c r="H33" s="17" t="n">
        <f aca="false">$C$7*E33+$C$8*F33+$C$9*G33</f>
        <v>23.070736</v>
      </c>
      <c r="I33" s="17" t="n">
        <f aca="false">H33-(ABS($C$7)*Q33+ABS($C$8)*R33+ABS($C$9)*S33)</f>
        <v>23.030736</v>
      </c>
      <c r="J33" s="13" t="n">
        <f aca="false">IF(OR(J32=1,D33&gt;=Inputs!$C$7),1,0)</f>
        <v>1</v>
      </c>
      <c r="K33" s="33" t="n">
        <f aca="false">Inputs!$C$28*(1+Inputs!$C$29*(C33/Inputs!$C$14-1))/1000000</f>
        <v>468.46218140995</v>
      </c>
      <c r="L33" s="33" t="n">
        <f aca="false">K33+($H33-$C$10)*Inputs!$C$31*Inputs!$C$30/1000000</f>
        <v>487.764307225965</v>
      </c>
      <c r="M33" s="33" t="n">
        <f aca="false">IF(J33=1,K33+($C$14-$C$10)*Inputs!$C$31*Inputs!$C$30/1000000,L33)</f>
        <v>501.694204143466</v>
      </c>
      <c r="N33" s="33" t="n">
        <f aca="false">IF(Inputs!$C$6=1,L33,M33)</f>
        <v>501.694204143466</v>
      </c>
      <c r="O33" s="33" t="n">
        <f aca="false">MAX(O32,N33)</f>
        <v>519.436860232416</v>
      </c>
      <c r="P33" s="43" t="n">
        <f aca="false">N33/O33-1</f>
        <v>-0.0341574837045865</v>
      </c>
      <c r="Q33" s="53" t="n">
        <v>0.02</v>
      </c>
      <c r="R33" s="53" t="n">
        <v>0.02</v>
      </c>
      <c r="S33" s="53" t="n">
        <v>0.02</v>
      </c>
    </row>
    <row r="34" customFormat="false" ht="15" hidden="false" customHeight="false" outlineLevel="0" collapsed="false">
      <c r="B34" s="52" t="n">
        <v>45764</v>
      </c>
      <c r="C34" s="15" t="n">
        <v>527.1358</v>
      </c>
      <c r="D34" s="21" t="n">
        <v>29.65</v>
      </c>
      <c r="E34" s="15" t="n">
        <v>4.945759</v>
      </c>
      <c r="F34" s="15" t="n">
        <v>22.493433</v>
      </c>
      <c r="G34" s="15" t="n">
        <v>1.275421</v>
      </c>
      <c r="H34" s="17" t="n">
        <f aca="false">$C$7*E34+$C$8*F34+$C$9*G34</f>
        <v>21.218012</v>
      </c>
      <c r="I34" s="17" t="n">
        <f aca="false">H34-(ABS($C$7)*Q34+ABS($C$8)*R34+ABS($C$9)*S34)</f>
        <v>21.178012</v>
      </c>
      <c r="J34" s="13" t="n">
        <f aca="false">IF(OR(J33=1,D34&gt;=Inputs!$C$7),1,0)</f>
        <v>1</v>
      </c>
      <c r="K34" s="33" t="n">
        <f aca="false">Inputs!$C$28*(1+Inputs!$C$29*(C34/Inputs!$C$14-1))/1000000</f>
        <v>469.519887729039</v>
      </c>
      <c r="L34" s="33" t="n">
        <f aca="false">K34+($H34-$C$10)*Inputs!$C$31*Inputs!$C$30/1000000</f>
        <v>487.171792170462</v>
      </c>
      <c r="M34" s="33" t="n">
        <f aca="false">IF(J34=1,K34+($C$14-$C$10)*Inputs!$C$31*Inputs!$C$30/1000000,L34)</f>
        <v>502.751910462555</v>
      </c>
      <c r="N34" s="33" t="n">
        <f aca="false">IF(Inputs!$C$6=1,L34,M34)</f>
        <v>502.751910462555</v>
      </c>
      <c r="O34" s="33" t="n">
        <f aca="false">MAX(O33,N34)</f>
        <v>519.436860232416</v>
      </c>
      <c r="P34" s="43" t="n">
        <f aca="false">N34/O34-1</f>
        <v>-0.0321212279051499</v>
      </c>
      <c r="Q34" s="53" t="n">
        <v>0.02</v>
      </c>
      <c r="R34" s="53" t="n">
        <v>0.02</v>
      </c>
      <c r="S34" s="53" t="n">
        <v>0.02</v>
      </c>
    </row>
    <row r="35" customFormat="false" ht="15" hidden="false" customHeight="false" outlineLevel="0" collapsed="false">
      <c r="B35" s="52" t="n">
        <v>45768</v>
      </c>
      <c r="C35" s="15" t="n">
        <v>514.2163</v>
      </c>
      <c r="D35" s="21" t="n">
        <v>33.82</v>
      </c>
      <c r="E35" s="15" t="n">
        <v>7.114128</v>
      </c>
      <c r="F35" s="15" t="n">
        <v>31.426875</v>
      </c>
      <c r="G35" s="15" t="n">
        <v>0.814387</v>
      </c>
      <c r="H35" s="17" t="n">
        <f aca="false">$C$7*E35+$C$8*F35+$C$9*G35</f>
        <v>30.612488</v>
      </c>
      <c r="I35" s="17" t="n">
        <f aca="false">H35-(ABS($C$7)*Q35+ABS($C$8)*R35+ABS($C$9)*S35)</f>
        <v>30.572488</v>
      </c>
      <c r="J35" s="13" t="n">
        <f aca="false">IF(OR(J34=1,D35&gt;=Inputs!$C$7),1,0)</f>
        <v>1</v>
      </c>
      <c r="K35" s="33" t="n">
        <f aca="false">Inputs!$C$28*(1+Inputs!$C$29*(C35/Inputs!$C$14-1))/1000000</f>
        <v>458.012488327376</v>
      </c>
      <c r="L35" s="33" t="n">
        <f aca="false">K35+($H35-$C$10)*Inputs!$C$31*Inputs!$C$30/1000000</f>
        <v>484.032053088574</v>
      </c>
      <c r="M35" s="33" t="n">
        <f aca="false">IF(J35=1,K35+($C$14-$C$10)*Inputs!$C$31*Inputs!$C$30/1000000,L35)</f>
        <v>491.244511060892</v>
      </c>
      <c r="N35" s="33" t="n">
        <f aca="false">IF(Inputs!$C$6=1,L35,M35)</f>
        <v>491.244511060892</v>
      </c>
      <c r="O35" s="33" t="n">
        <f aca="false">MAX(O34,N35)</f>
        <v>519.436860232416</v>
      </c>
      <c r="P35" s="43" t="n">
        <f aca="false">N35/O35-1</f>
        <v>-0.0542748336321568</v>
      </c>
      <c r="Q35" s="53" t="n">
        <v>0.02</v>
      </c>
      <c r="R35" s="53" t="n">
        <v>0.02</v>
      </c>
      <c r="S35" s="53" t="n">
        <v>0.02</v>
      </c>
    </row>
    <row r="36" customFormat="false" ht="15" hidden="false" customHeight="false" outlineLevel="0" collapsed="false">
      <c r="B36" s="52" t="n">
        <v>45769</v>
      </c>
      <c r="C36" s="15" t="n">
        <v>527.5965</v>
      </c>
      <c r="D36" s="21" t="n">
        <v>30.57</v>
      </c>
      <c r="E36" s="15" t="n">
        <v>4.373656</v>
      </c>
      <c r="F36" s="15" t="n">
        <v>22.296595</v>
      </c>
      <c r="G36" s="15" t="n">
        <v>1.400871</v>
      </c>
      <c r="H36" s="17" t="n">
        <f aca="false">$C$7*E36+$C$8*F36+$C$9*G36</f>
        <v>20.895724</v>
      </c>
      <c r="I36" s="17" t="n">
        <f aca="false">H36-(ABS($C$7)*Q36+ABS($C$8)*R36+ABS($C$9)*S36)</f>
        <v>20.855724</v>
      </c>
      <c r="J36" s="13" t="n">
        <f aca="false">IF(OR(J35=1,D36&gt;=Inputs!$C$7),1,0)</f>
        <v>1</v>
      </c>
      <c r="K36" s="33" t="n">
        <f aca="false">Inputs!$C$28*(1+Inputs!$C$29*(C36/Inputs!$C$14-1))/1000000</f>
        <v>469.930233245843</v>
      </c>
      <c r="L36" s="33" t="n">
        <f aca="false">K36+($H36-$C$10)*Inputs!$C$31*Inputs!$C$30/1000000</f>
        <v>487.295075746914</v>
      </c>
      <c r="M36" s="33" t="n">
        <f aca="false">IF(J36=1,K36+($C$14-$C$10)*Inputs!$C$31*Inputs!$C$30/1000000,L36)</f>
        <v>503.162255979359</v>
      </c>
      <c r="N36" s="33" t="n">
        <f aca="false">IF(Inputs!$C$6=1,L36,M36)</f>
        <v>503.162255979359</v>
      </c>
      <c r="O36" s="33" t="n">
        <f aca="false">MAX(O35,N36)</f>
        <v>519.436860232416</v>
      </c>
      <c r="P36" s="43" t="n">
        <f aca="false">N36/O36-1</f>
        <v>-0.0313312463920549</v>
      </c>
      <c r="Q36" s="53" t="n">
        <v>0.02</v>
      </c>
      <c r="R36" s="53" t="n">
        <v>0.02</v>
      </c>
      <c r="S36" s="53" t="n">
        <v>0.02</v>
      </c>
    </row>
    <row r="37" customFormat="false" ht="15" hidden="false" customHeight="false" outlineLevel="0" collapsed="false">
      <c r="B37" s="52" t="n">
        <v>45770</v>
      </c>
      <c r="C37" s="15" t="n">
        <v>536.3145</v>
      </c>
      <c r="D37" s="21" t="n">
        <v>28.45</v>
      </c>
      <c r="E37" s="15" t="n">
        <v>3.031819</v>
      </c>
      <c r="F37" s="15" t="n">
        <v>16.938571</v>
      </c>
      <c r="G37" s="15" t="n">
        <v>1.896263</v>
      </c>
      <c r="H37" s="17" t="n">
        <f aca="false">$C$7*E37+$C$8*F37+$C$9*G37</f>
        <v>15.042308</v>
      </c>
      <c r="I37" s="17" t="n">
        <f aca="false">H37-(ABS($C$7)*Q37+ABS($C$8)*R37+ABS($C$9)*S37)</f>
        <v>15.002308</v>
      </c>
      <c r="J37" s="13" t="n">
        <f aca="false">IF(OR(J36=1,D37&gt;=Inputs!$C$7),1,0)</f>
        <v>1</v>
      </c>
      <c r="K37" s="33" t="n">
        <f aca="false">Inputs!$C$28*(1+Inputs!$C$29*(C37/Inputs!$C$14-1))/1000000</f>
        <v>477.695356353061</v>
      </c>
      <c r="L37" s="33" t="n">
        <f aca="false">K37+($H37-$C$10)*Inputs!$C$31*Inputs!$C$30/1000000</f>
        <v>489.846560882377</v>
      </c>
      <c r="M37" s="33" t="n">
        <f aca="false">IF(J37=1,K37+($C$14-$C$10)*Inputs!$C$31*Inputs!$C$30/1000000,L37)</f>
        <v>510.927379086577</v>
      </c>
      <c r="N37" s="33" t="n">
        <f aca="false">IF(Inputs!$C$6=1,L37,M37)</f>
        <v>510.927379086577</v>
      </c>
      <c r="O37" s="33" t="n">
        <f aca="false">MAX(O36,N37)</f>
        <v>519.436860232416</v>
      </c>
      <c r="P37" s="43" t="n">
        <f aca="false">N37/O37-1</f>
        <v>-0.0163821280261702</v>
      </c>
      <c r="Q37" s="53" t="n">
        <v>0.02</v>
      </c>
      <c r="R37" s="53" t="n">
        <v>0.02</v>
      </c>
      <c r="S37" s="53" t="n">
        <v>0.02</v>
      </c>
    </row>
    <row r="38" customFormat="false" ht="15" hidden="false" customHeight="false" outlineLevel="0" collapsed="false">
      <c r="B38" s="52" t="n">
        <v>45771</v>
      </c>
      <c r="C38" s="15" t="n">
        <v>548.0894</v>
      </c>
      <c r="D38" s="21" t="n">
        <v>26.47</v>
      </c>
      <c r="E38" s="15" t="n">
        <v>2.174009</v>
      </c>
      <c r="F38" s="15" t="n">
        <v>11.145492</v>
      </c>
      <c r="G38" s="15" t="n">
        <v>2.794882</v>
      </c>
      <c r="H38" s="17" t="n">
        <f aca="false">$C$7*E38+$C$8*F38+$C$9*G38</f>
        <v>8.35061</v>
      </c>
      <c r="I38" s="17" t="n">
        <f aca="false">H38-(ABS($C$7)*Q38+ABS($C$8)*R38+ABS($C$9)*S38)</f>
        <v>8.31061</v>
      </c>
      <c r="J38" s="13" t="n">
        <f aca="false">IF(OR(J37=1,D38&gt;=Inputs!$C$7),1,0)</f>
        <v>1</v>
      </c>
      <c r="K38" s="33" t="n">
        <f aca="false">Inputs!$C$28*(1+Inputs!$C$29*(C38/Inputs!$C$14-1))/1000000</f>
        <v>488.183260468131</v>
      </c>
      <c r="L38" s="33" t="n">
        <f aca="false">K38+($H38-$C$10)*Inputs!$C$31*Inputs!$C$30/1000000</f>
        <v>494.374169199521</v>
      </c>
      <c r="M38" s="33" t="n">
        <f aca="false">IF(J38=1,K38+($C$14-$C$10)*Inputs!$C$31*Inputs!$C$30/1000000,L38)</f>
        <v>521.415283201646</v>
      </c>
      <c r="N38" s="33" t="n">
        <f aca="false">IF(Inputs!$C$6=1,L38,M38)</f>
        <v>521.415283201646</v>
      </c>
      <c r="O38" s="33" t="n">
        <f aca="false">MAX(O37,N38)</f>
        <v>521.415283201646</v>
      </c>
      <c r="P38" s="43" t="n">
        <f aca="false">N38/O38-1</f>
        <v>0</v>
      </c>
      <c r="Q38" s="53" t="n">
        <v>0.02</v>
      </c>
      <c r="R38" s="53" t="n">
        <v>0.02</v>
      </c>
      <c r="S38" s="53" t="n">
        <v>0.02</v>
      </c>
    </row>
    <row r="39" customFormat="false" ht="15" hidden="false" customHeight="false" outlineLevel="0" collapsed="false">
      <c r="B39" s="52" t="n">
        <v>45772</v>
      </c>
      <c r="C39" s="15" t="n">
        <v>550.8258</v>
      </c>
      <c r="D39" s="21" t="n">
        <v>24.84</v>
      </c>
      <c r="E39" s="15" t="n">
        <v>1.720737</v>
      </c>
      <c r="F39" s="15" t="n">
        <v>9.342071</v>
      </c>
      <c r="G39" s="15" t="n">
        <v>2.70974</v>
      </c>
      <c r="H39" s="17" t="n">
        <f aca="false">$C$7*E39+$C$8*F39+$C$9*G39</f>
        <v>6.632331</v>
      </c>
      <c r="I39" s="17" t="n">
        <f aca="false">H39-(ABS($C$7)*Q39+ABS($C$8)*R39+ABS($C$9)*S39)</f>
        <v>6.592331</v>
      </c>
      <c r="J39" s="13" t="n">
        <f aca="false">IF(OR(J38=1,D39&gt;=Inputs!$C$7),1,0)</f>
        <v>1</v>
      </c>
      <c r="K39" s="33" t="n">
        <f aca="false">Inputs!$C$28*(1+Inputs!$C$29*(C39/Inputs!$C$14-1))/1000000</f>
        <v>490.620572107336</v>
      </c>
      <c r="L39" s="33" t="n">
        <f aca="false">K39+($H39-$C$10)*Inputs!$C$31*Inputs!$C$30/1000000</f>
        <v>495.281009633456</v>
      </c>
      <c r="M39" s="33" t="n">
        <f aca="false">IF(J39=1,K39+($C$14-$C$10)*Inputs!$C$31*Inputs!$C$30/1000000,L39)</f>
        <v>523.852594840852</v>
      </c>
      <c r="N39" s="33" t="n">
        <f aca="false">IF(Inputs!$C$6=1,L39,M39)</f>
        <v>523.852594840852</v>
      </c>
      <c r="O39" s="33" t="n">
        <f aca="false">MAX(O38,N39)</f>
        <v>523.852594840852</v>
      </c>
      <c r="P39" s="43" t="n">
        <f aca="false">N39/O39-1</f>
        <v>0</v>
      </c>
      <c r="Q39" s="53" t="n">
        <v>0.02</v>
      </c>
      <c r="R39" s="53" t="n">
        <v>0.02</v>
      </c>
      <c r="S39" s="53" t="n">
        <v>0.02</v>
      </c>
    </row>
    <row r="40" customFormat="false" ht="15" hidden="false" customHeight="false" outlineLevel="0" collapsed="false">
      <c r="B40" s="52" t="n">
        <v>45775</v>
      </c>
      <c r="C40" s="15" t="n">
        <v>550.6419</v>
      </c>
      <c r="D40" s="21" t="n">
        <v>25.15</v>
      </c>
      <c r="E40" s="15" t="n">
        <v>1.585128</v>
      </c>
      <c r="F40" s="15" t="n">
        <v>9.152948</v>
      </c>
      <c r="G40" s="15" t="n">
        <v>2.470064</v>
      </c>
      <c r="H40" s="17" t="n">
        <f aca="false">$C$7*E40+$C$8*F40+$C$9*G40</f>
        <v>6.682884</v>
      </c>
      <c r="I40" s="17" t="n">
        <f aca="false">H40-(ABS($C$7)*Q40+ABS($C$8)*R40+ABS($C$9)*S40)</f>
        <v>6.642884</v>
      </c>
      <c r="J40" s="13" t="n">
        <f aca="false">IF(OR(J39=1,D40&gt;=Inputs!$C$7),1,0)</f>
        <v>1</v>
      </c>
      <c r="K40" s="33" t="n">
        <f aca="false">Inputs!$C$28*(1+Inputs!$C$29*(C40/Inputs!$C$14-1))/1000000</f>
        <v>490.456772366636</v>
      </c>
      <c r="L40" s="33" t="n">
        <f aca="false">K40+($H40-$C$10)*Inputs!$C$31*Inputs!$C$30/1000000</f>
        <v>495.162237452797</v>
      </c>
      <c r="M40" s="33" t="n">
        <f aca="false">IF(J40=1,K40+($C$14-$C$10)*Inputs!$C$31*Inputs!$C$30/1000000,L40)</f>
        <v>523.688795100152</v>
      </c>
      <c r="N40" s="33" t="n">
        <f aca="false">IF(Inputs!$C$6=1,L40,M40)</f>
        <v>523.688795100152</v>
      </c>
      <c r="O40" s="33" t="n">
        <f aca="false">MAX(O39,N40)</f>
        <v>523.852594840852</v>
      </c>
      <c r="P40" s="43" t="n">
        <f aca="false">N40/O40-1</f>
        <v>-0.000312682885057036</v>
      </c>
      <c r="Q40" s="53" t="n">
        <v>0.02</v>
      </c>
      <c r="R40" s="53" t="n">
        <v>0.02</v>
      </c>
      <c r="S40" s="53" t="n">
        <v>0.02</v>
      </c>
    </row>
    <row r="41" customFormat="false" ht="15" hidden="false" customHeight="false" outlineLevel="0" collapsed="false">
      <c r="B41" s="52" t="n">
        <v>45776</v>
      </c>
      <c r="C41" s="15" t="n">
        <v>554.4931</v>
      </c>
      <c r="D41" s="21" t="n">
        <v>24.17</v>
      </c>
      <c r="E41" s="15" t="n">
        <v>1.257132</v>
      </c>
      <c r="F41" s="15" t="n">
        <v>7.373434</v>
      </c>
      <c r="G41" s="15" t="n">
        <v>2.736218</v>
      </c>
      <c r="H41" s="17" t="n">
        <f aca="false">$C$7*E41+$C$8*F41+$C$9*G41</f>
        <v>4.637216</v>
      </c>
      <c r="I41" s="17" t="n">
        <f aca="false">H41-(ABS($C$7)*Q41+ABS($C$8)*R41+ABS($C$9)*S41)</f>
        <v>4.592216</v>
      </c>
      <c r="J41" s="13" t="n">
        <f aca="false">IF(OR(J40=1,D41&gt;=Inputs!$C$7),1,0)</f>
        <v>1</v>
      </c>
      <c r="K41" s="33" t="n">
        <f aca="false">Inputs!$C$28*(1+Inputs!$C$29*(C41/Inputs!$C$14-1))/1000000</f>
        <v>493.887036430701</v>
      </c>
      <c r="L41" s="33" t="n">
        <f aca="false">K41+($H41-$C$10)*Inputs!$C$31*Inputs!$C$30/1000000</f>
        <v>496.770424910244</v>
      </c>
      <c r="M41" s="33" t="n">
        <f aca="false">IF(J41=1,K41+($C$14-$C$10)*Inputs!$C$31*Inputs!$C$30/1000000,L41)</f>
        <v>527.119059164217</v>
      </c>
      <c r="N41" s="33" t="n">
        <f aca="false">IF(Inputs!$C$6=1,L41,M41)</f>
        <v>527.119059164217</v>
      </c>
      <c r="O41" s="33" t="n">
        <f aca="false">MAX(O40,N41)</f>
        <v>527.119059164217</v>
      </c>
      <c r="P41" s="43" t="n">
        <f aca="false">N41/O41-1</f>
        <v>0</v>
      </c>
      <c r="Q41" s="53" t="n">
        <v>0.005</v>
      </c>
      <c r="R41" s="53" t="n">
        <v>0.03</v>
      </c>
      <c r="S41" s="53" t="n">
        <v>0.015</v>
      </c>
    </row>
    <row r="42" customFormat="false" ht="15" hidden="false" customHeight="false" outlineLevel="0" collapsed="false">
      <c r="B42" s="52" t="n">
        <v>45777</v>
      </c>
      <c r="C42" s="15" t="n">
        <v>556.4628</v>
      </c>
      <c r="D42" s="21" t="n">
        <v>24.7</v>
      </c>
      <c r="E42" s="15" t="n">
        <v>1.298524</v>
      </c>
      <c r="F42" s="15" t="n">
        <v>7.210808</v>
      </c>
      <c r="G42" s="15" t="n">
        <v>3.022014</v>
      </c>
      <c r="H42" s="17" t="n">
        <f aca="false">$C$7*E42+$C$8*F42+$C$9*G42</f>
        <v>4.188794</v>
      </c>
      <c r="I42" s="17" t="n">
        <f aca="false">H42-(ABS($C$7)*Q42+ABS($C$8)*R42+ABS($C$9)*S42)</f>
        <v>4.113794</v>
      </c>
      <c r="J42" s="13" t="n">
        <f aca="false">IF(OR(J41=1,D42&gt;=Inputs!$C$7),1,0)</f>
        <v>1</v>
      </c>
      <c r="K42" s="33" t="n">
        <f aca="false">Inputs!$C$28*(1+Inputs!$C$29*(C42/Inputs!$C$14-1))/1000000</f>
        <v>495.6414483353</v>
      </c>
      <c r="L42" s="33" t="n">
        <f aca="false">K42+($H42-$C$10)*Inputs!$C$31*Inputs!$C$30/1000000</f>
        <v>498.125427313353</v>
      </c>
      <c r="M42" s="33" t="n">
        <f aca="false">IF(J42=1,K42+($C$14-$C$10)*Inputs!$C$31*Inputs!$C$30/1000000,L42)</f>
        <v>528.873471068815</v>
      </c>
      <c r="N42" s="33" t="n">
        <f aca="false">IF(Inputs!$C$6=1,L42,M42)</f>
        <v>528.873471068815</v>
      </c>
      <c r="O42" s="33" t="n">
        <f aca="false">MAX(O41,N42)</f>
        <v>528.873471068815</v>
      </c>
      <c r="P42" s="43" t="n">
        <f aca="false">N42/O42-1</f>
        <v>0</v>
      </c>
      <c r="Q42" s="53" t="n">
        <v>0.015</v>
      </c>
      <c r="R42" s="53" t="n">
        <v>0.05</v>
      </c>
      <c r="S42" s="53" t="n">
        <v>0.025</v>
      </c>
    </row>
    <row r="43" customFormat="false" ht="15" hidden="false" customHeight="false" outlineLevel="0" collapsed="false">
      <c r="B43" s="52" t="n">
        <v>45778</v>
      </c>
      <c r="C43" s="15" t="n">
        <v>556.9511</v>
      </c>
      <c r="D43" s="21" t="n">
        <v>24.6</v>
      </c>
      <c r="E43" s="15" t="n">
        <v>1.204216</v>
      </c>
      <c r="F43" s="15" t="n">
        <v>6.719702</v>
      </c>
      <c r="G43" s="15" t="n">
        <v>3.051831</v>
      </c>
      <c r="H43" s="17" t="n">
        <f aca="false">$C$7*E43+$C$8*F43+$C$9*G43</f>
        <v>3.667871</v>
      </c>
      <c r="I43" s="17" t="n">
        <f aca="false">H43-(ABS($C$7)*Q43+ABS($C$8)*R43+ABS($C$9)*S43)</f>
        <v>3.602871</v>
      </c>
      <c r="J43" s="13" t="n">
        <f aca="false">IF(OR(J42=1,D43&gt;=Inputs!$C$7),1,0)</f>
        <v>1</v>
      </c>
      <c r="K43" s="33" t="n">
        <f aca="false">Inputs!$C$28*(1+Inputs!$C$29*(C43/Inputs!$C$14-1))/1000000</f>
        <v>496.076377173709</v>
      </c>
      <c r="L43" s="33" t="n">
        <f aca="false">K43+($H43-$C$10)*Inputs!$C$31*Inputs!$C$30/1000000</f>
        <v>498.096370005355</v>
      </c>
      <c r="M43" s="33" t="n">
        <f aca="false">IF(J43=1,K43+($C$14-$C$10)*Inputs!$C$31*Inputs!$C$30/1000000,L43)</f>
        <v>529.308399907225</v>
      </c>
      <c r="N43" s="33" t="n">
        <f aca="false">IF(Inputs!$C$6=1,L43,M43)</f>
        <v>529.308399907225</v>
      </c>
      <c r="O43" s="33" t="n">
        <f aca="false">MAX(O42,N43)</f>
        <v>529.308399907225</v>
      </c>
      <c r="P43" s="43" t="n">
        <f aca="false">N43/O43-1</f>
        <v>0</v>
      </c>
      <c r="Q43" s="53" t="n">
        <v>0.01</v>
      </c>
      <c r="R43" s="53" t="n">
        <v>0.04</v>
      </c>
      <c r="S43" s="53" t="n">
        <v>0.025</v>
      </c>
    </row>
    <row r="44" customFormat="false" ht="15" hidden="false" customHeight="false" outlineLevel="0" collapsed="false">
      <c r="B44" s="52" t="n">
        <v>45779</v>
      </c>
      <c r="C44" s="15" t="n">
        <v>567.1485</v>
      </c>
      <c r="D44" s="21" t="n">
        <v>22.68</v>
      </c>
      <c r="E44" s="15" t="n">
        <v>0.79722</v>
      </c>
      <c r="F44" s="15" t="n">
        <v>3.996668</v>
      </c>
      <c r="G44" s="15" t="n">
        <v>4.82766</v>
      </c>
      <c r="H44" s="17" t="n">
        <f aca="false">$C$7*E44+$C$8*F44+$C$9*G44</f>
        <v>-0.830992</v>
      </c>
      <c r="I44" s="17" t="n">
        <f aca="false">H44-(ABS($C$7)*Q44+ABS($C$8)*R44+ABS($C$9)*S44)</f>
        <v>-0.880992</v>
      </c>
      <c r="J44" s="13" t="n">
        <f aca="false">IF(OR(J43=1,D44&gt;=Inputs!$C$7),1,0)</f>
        <v>1</v>
      </c>
      <c r="K44" s="33" t="n">
        <f aca="false">Inputs!$C$28*(1+Inputs!$C$29*(C44/Inputs!$C$14-1))/1000000</f>
        <v>505.159201946999</v>
      </c>
      <c r="L44" s="33" t="n">
        <f aca="false">K44+($H44-$C$10)*Inputs!$C$31*Inputs!$C$30/1000000</f>
        <v>503.172057242799</v>
      </c>
      <c r="M44" s="33" t="n">
        <f aca="false">IF(J44=1,K44+($C$14-$C$10)*Inputs!$C$31*Inputs!$C$30/1000000,L44)</f>
        <v>538.391224680515</v>
      </c>
      <c r="N44" s="33" t="n">
        <f aca="false">IF(Inputs!$C$6=1,L44,M44)</f>
        <v>538.391224680515</v>
      </c>
      <c r="O44" s="33" t="n">
        <f aca="false">MAX(O43,N44)</f>
        <v>538.391224680515</v>
      </c>
      <c r="P44" s="43" t="n">
        <f aca="false">N44/O44-1</f>
        <v>0</v>
      </c>
      <c r="Q44" s="53" t="n">
        <v>0.01</v>
      </c>
      <c r="R44" s="53" t="n">
        <v>0.025</v>
      </c>
      <c r="S44" s="53" t="n">
        <v>0.025</v>
      </c>
    </row>
    <row r="45" customFormat="false" ht="15" hidden="false" customHeight="false" outlineLevel="0" collapsed="false">
      <c r="B45" s="52" t="n">
        <v>45782</v>
      </c>
      <c r="C45" s="15" t="n">
        <v>563.0326</v>
      </c>
      <c r="D45" s="21" t="n">
        <v>23.64</v>
      </c>
      <c r="E45" s="15" t="n">
        <v>0.797749</v>
      </c>
      <c r="F45" s="15" t="n">
        <v>4.424232</v>
      </c>
      <c r="G45" s="15" t="n">
        <v>3.413834</v>
      </c>
      <c r="H45" s="17" t="n">
        <f aca="false">$C$7*E45+$C$8*F45+$C$9*G45</f>
        <v>1.010398</v>
      </c>
      <c r="I45" s="17" t="n">
        <f aca="false">H45-(ABS($C$7)*Q45+ABS($C$8)*R45+ABS($C$9)*S45)</f>
        <v>0.975398</v>
      </c>
      <c r="J45" s="13" t="n">
        <f aca="false">IF(OR(J44=1,D45&gt;=Inputs!$C$7),1,0)</f>
        <v>1</v>
      </c>
      <c r="K45" s="33" t="n">
        <f aca="false">Inputs!$C$28*(1+Inputs!$C$29*(C45/Inputs!$C$14-1))/1000000</f>
        <v>501.493169577534</v>
      </c>
      <c r="L45" s="33" t="n">
        <f aca="false">K45+($H45-$C$10)*Inputs!$C$31*Inputs!$C$30/1000000</f>
        <v>501.146151053467</v>
      </c>
      <c r="M45" s="33" t="n">
        <f aca="false">IF(J45=1,K45+($C$14-$C$10)*Inputs!$C$31*Inputs!$C$30/1000000,L45)</f>
        <v>534.72519231105</v>
      </c>
      <c r="N45" s="33" t="n">
        <f aca="false">IF(Inputs!$C$6=1,L45,M45)</f>
        <v>534.72519231105</v>
      </c>
      <c r="O45" s="33" t="n">
        <f aca="false">MAX(O44,N45)</f>
        <v>538.391224680515</v>
      </c>
      <c r="P45" s="43" t="n">
        <f aca="false">N45/O45-1</f>
        <v>-0.00680923499754427</v>
      </c>
      <c r="Q45" s="53" t="n">
        <v>0.005</v>
      </c>
      <c r="R45" s="53" t="n">
        <v>0.02</v>
      </c>
      <c r="S45" s="53" t="n">
        <v>0.015</v>
      </c>
    </row>
    <row r="46" customFormat="false" ht="15" hidden="false" customHeight="false" outlineLevel="0" collapsed="false">
      <c r="B46" s="52" t="n">
        <v>45783</v>
      </c>
      <c r="C46" s="15" t="n">
        <v>558.8362</v>
      </c>
      <c r="D46" s="21" t="n">
        <v>24.76</v>
      </c>
      <c r="E46" s="15" t="n">
        <v>0.851712</v>
      </c>
      <c r="F46" s="15" t="n">
        <v>5.317818</v>
      </c>
      <c r="G46" s="15" t="n">
        <v>2.673224</v>
      </c>
      <c r="H46" s="17" t="n">
        <f aca="false">$C$7*E46+$C$8*F46+$C$9*G46</f>
        <v>2.644594</v>
      </c>
      <c r="I46" s="17" t="n">
        <f aca="false">H46-(ABS($C$7)*Q46+ABS($C$8)*R46+ABS($C$9)*S46)</f>
        <v>2.604594</v>
      </c>
      <c r="J46" s="13" t="n">
        <f aca="false">IF(OR(J45=1,D46&gt;=Inputs!$C$7),1,0)</f>
        <v>1</v>
      </c>
      <c r="K46" s="33" t="n">
        <f aca="false">Inputs!$C$28*(1+Inputs!$C$29*(C46/Inputs!$C$14-1))/1000000</f>
        <v>497.755435853385</v>
      </c>
      <c r="L46" s="33" t="n">
        <f aca="false">K46+($H46-$C$10)*Inputs!$C$31*Inputs!$C$30/1000000</f>
        <v>498.863995801596</v>
      </c>
      <c r="M46" s="33" t="n">
        <f aca="false">IF(J46=1,K46+($C$14-$C$10)*Inputs!$C$31*Inputs!$C$30/1000000,L46)</f>
        <v>530.987458586901</v>
      </c>
      <c r="N46" s="33" t="n">
        <f aca="false">IF(Inputs!$C$6=1,L46,M46)</f>
        <v>530.987458586901</v>
      </c>
      <c r="O46" s="33" t="n">
        <f aca="false">MAX(O45,N46)</f>
        <v>538.391224680515</v>
      </c>
      <c r="P46" s="43" t="n">
        <f aca="false">N46/O46-1</f>
        <v>-0.0137516470444098</v>
      </c>
      <c r="Q46" s="53" t="n">
        <v>0.02</v>
      </c>
      <c r="R46" s="53" t="n">
        <v>0.02</v>
      </c>
      <c r="S46" s="53" t="n">
        <v>0.02</v>
      </c>
    </row>
    <row r="47" customFormat="false" ht="15" hidden="false" customHeight="false" outlineLevel="0" collapsed="false">
      <c r="B47" s="52" t="n">
        <v>45784</v>
      </c>
      <c r="C47" s="15" t="n">
        <v>561.0729</v>
      </c>
      <c r="D47" s="21" t="n">
        <v>23.55</v>
      </c>
      <c r="E47" s="15" t="n">
        <v>0.681898</v>
      </c>
      <c r="F47" s="15" t="n">
        <v>4.377992</v>
      </c>
      <c r="G47" s="15" t="n">
        <v>2.709933</v>
      </c>
      <c r="H47" s="17" t="n">
        <f aca="false">$C$7*E47+$C$8*F47+$C$9*G47</f>
        <v>1.668059</v>
      </c>
      <c r="I47" s="17" t="n">
        <f aca="false">H47-(ABS($C$7)*Q47+ABS($C$8)*R47+ABS($C$9)*S47)</f>
        <v>1.628059</v>
      </c>
      <c r="J47" s="13" t="n">
        <f aca="false">IF(OR(J46=1,D47&gt;=Inputs!$C$7),1,0)</f>
        <v>1</v>
      </c>
      <c r="K47" s="33" t="n">
        <f aca="false">Inputs!$C$28*(1+Inputs!$C$29*(C47/Inputs!$C$14-1))/1000000</f>
        <v>499.747664673518</v>
      </c>
      <c r="L47" s="33" t="n">
        <f aca="false">K47+($H47-$C$10)*Inputs!$C$31*Inputs!$C$30/1000000</f>
        <v>499.986424840413</v>
      </c>
      <c r="M47" s="33" t="n">
        <f aca="false">IF(J47=1,K47+($C$14-$C$10)*Inputs!$C$31*Inputs!$C$30/1000000,L47)</f>
        <v>532.979687407033</v>
      </c>
      <c r="N47" s="33" t="n">
        <f aca="false">IF(Inputs!$C$6=1,L47,M47)</f>
        <v>532.979687407033</v>
      </c>
      <c r="O47" s="33" t="n">
        <f aca="false">MAX(O46,N47)</f>
        <v>538.391224680515</v>
      </c>
      <c r="P47" s="43" t="n">
        <f aca="false">N47/O47-1</f>
        <v>-0.0100513103212126</v>
      </c>
      <c r="Q47" s="53" t="n">
        <v>0.02</v>
      </c>
      <c r="R47" s="53" t="n">
        <v>0.02</v>
      </c>
      <c r="S47" s="53" t="n">
        <v>0.02</v>
      </c>
    </row>
    <row r="48" customFormat="false" ht="15" hidden="false" customHeight="false" outlineLevel="0" collapsed="false">
      <c r="B48" s="52" t="n">
        <v>45785</v>
      </c>
      <c r="C48" s="15" t="n">
        <v>565.6553</v>
      </c>
      <c r="D48" s="21" t="n">
        <v>22.48</v>
      </c>
      <c r="E48" s="15" t="n">
        <v>0.494154</v>
      </c>
      <c r="F48" s="15" t="n">
        <v>3.24421</v>
      </c>
      <c r="G48" s="15" t="n">
        <v>3.494814</v>
      </c>
      <c r="H48" s="17" t="n">
        <f aca="false">$C$7*E48+$C$8*F48+$C$9*G48</f>
        <v>-0.250604</v>
      </c>
      <c r="I48" s="17" t="n">
        <f aca="false">H48-(ABS($C$7)*Q48+ABS($C$8)*R48+ABS($C$9)*S48)</f>
        <v>-0.290604</v>
      </c>
      <c r="J48" s="13" t="n">
        <f aca="false">IF(OR(J47=1,D48&gt;=Inputs!$C$7),1,0)</f>
        <v>1</v>
      </c>
      <c r="K48" s="33" t="n">
        <f aca="false">Inputs!$C$28*(1+Inputs!$C$29*(C48/Inputs!$C$14-1))/1000000</f>
        <v>503.829208620124</v>
      </c>
      <c r="L48" s="33" t="n">
        <f aca="false">K48+($H48-$C$10)*Inputs!$C$31*Inputs!$C$30/1000000</f>
        <v>502.359015541291</v>
      </c>
      <c r="M48" s="33" t="n">
        <f aca="false">IF(J48=1,K48+($C$14-$C$10)*Inputs!$C$31*Inputs!$C$30/1000000,L48)</f>
        <v>537.06123135364</v>
      </c>
      <c r="N48" s="33" t="n">
        <f aca="false">IF(Inputs!$C$6=1,L48,M48)</f>
        <v>537.06123135364</v>
      </c>
      <c r="O48" s="33" t="n">
        <f aca="false">MAX(O47,N48)</f>
        <v>538.391224680515</v>
      </c>
      <c r="P48" s="43" t="n">
        <f aca="false">N48/O48-1</f>
        <v>-0.00247031018691735</v>
      </c>
      <c r="Q48" s="53" t="n">
        <v>0.02</v>
      </c>
      <c r="R48" s="53" t="n">
        <v>0.02</v>
      </c>
      <c r="S48" s="53" t="n">
        <v>0.02</v>
      </c>
    </row>
    <row r="49" customFormat="false" ht="15" hidden="false" customHeight="false" outlineLevel="0" collapsed="false">
      <c r="B49" s="52" t="n">
        <v>45786</v>
      </c>
      <c r="C49" s="15" t="n">
        <v>564.3672</v>
      </c>
      <c r="D49" s="21" t="n">
        <v>21.9</v>
      </c>
      <c r="E49" s="15" t="n">
        <v>0.37584</v>
      </c>
      <c r="F49" s="15" t="n">
        <v>3.049032</v>
      </c>
      <c r="G49" s="15" t="n">
        <v>2.967366</v>
      </c>
      <c r="H49" s="17" t="n">
        <f aca="false">$C$7*E49+$C$8*F49+$C$9*G49</f>
        <v>0.0816659999999998</v>
      </c>
      <c r="I49" s="17" t="n">
        <f aca="false">H49-(ABS($C$7)*Q49+ABS($C$8)*R49+ABS($C$9)*S49)</f>
        <v>0.0416659999999998</v>
      </c>
      <c r="J49" s="13" t="n">
        <f aca="false">IF(OR(J48=1,D49&gt;=Inputs!$C$7),1,0)</f>
        <v>1</v>
      </c>
      <c r="K49" s="33" t="n">
        <f aca="false">Inputs!$C$28*(1+Inputs!$C$29*(C49/Inputs!$C$14-1))/1000000</f>
        <v>502.681897875182</v>
      </c>
      <c r="L49" s="33" t="n">
        <f aca="false">K49+($H49-$C$10)*Inputs!$C$31*Inputs!$C$30/1000000</f>
        <v>501.50765770468</v>
      </c>
      <c r="M49" s="33" t="n">
        <f aca="false">IF(J49=1,K49+($C$14-$C$10)*Inputs!$C$31*Inputs!$C$30/1000000,L49)</f>
        <v>535.913920608697</v>
      </c>
      <c r="N49" s="33" t="n">
        <f aca="false">IF(Inputs!$C$6=1,L49,M49)</f>
        <v>535.913920608697</v>
      </c>
      <c r="O49" s="33" t="n">
        <f aca="false">MAX(O48,N49)</f>
        <v>538.391224680515</v>
      </c>
      <c r="P49" s="43" t="n">
        <f aca="false">N49/O49-1</f>
        <v>-0.00460130841338935</v>
      </c>
      <c r="Q49" s="53" t="n">
        <v>0.02</v>
      </c>
      <c r="R49" s="53" t="n">
        <v>0.02</v>
      </c>
      <c r="S49" s="53" t="n">
        <v>0.02</v>
      </c>
    </row>
    <row r="50" customFormat="false" ht="15" hidden="false" customHeight="false" outlineLevel="0" collapsed="false">
      <c r="B50" s="52" t="n">
        <v>45789</v>
      </c>
      <c r="C50" s="15" t="n">
        <v>582.8082</v>
      </c>
      <c r="D50" s="21" t="n">
        <v>18.39</v>
      </c>
      <c r="E50" s="15" t="n">
        <v>0.142059</v>
      </c>
      <c r="F50" s="15" t="n">
        <v>0.771224</v>
      </c>
      <c r="G50" s="15" t="n">
        <v>8.260975</v>
      </c>
      <c r="H50" s="17" t="n">
        <f aca="false">$C$7*E50+$C$8*F50+$C$9*G50</f>
        <v>-7.489751</v>
      </c>
      <c r="I50" s="17" t="n">
        <f aca="false">H50-(ABS($C$7)*Q50+ABS($C$8)*R50+ABS($C$9)*S50)</f>
        <v>-7.529751</v>
      </c>
      <c r="J50" s="13" t="n">
        <f aca="false">IF(OR(J49=1,D50&gt;=Inputs!$C$7),1,0)</f>
        <v>1</v>
      </c>
      <c r="K50" s="33" t="n">
        <f aca="false">Inputs!$C$28*(1+Inputs!$C$29*(C50/Inputs!$C$14-1))/1000000</f>
        <v>519.107297648089</v>
      </c>
      <c r="L50" s="33" t="n">
        <f aca="false">K50+($H50-$C$10)*Inputs!$C$31*Inputs!$C$30/1000000</f>
        <v>511.189195915178</v>
      </c>
      <c r="M50" s="33" t="n">
        <f aca="false">IF(J50=1,K50+($C$14-$C$10)*Inputs!$C$31*Inputs!$C$30/1000000,L50)</f>
        <v>552.339320381605</v>
      </c>
      <c r="N50" s="33" t="n">
        <f aca="false">IF(Inputs!$C$6=1,L50,M50)</f>
        <v>552.339320381605</v>
      </c>
      <c r="O50" s="33" t="n">
        <f aca="false">MAX(O49,N50)</f>
        <v>552.339320381605</v>
      </c>
      <c r="P50" s="43" t="n">
        <f aca="false">N50/O50-1</f>
        <v>0</v>
      </c>
      <c r="Q50" s="53" t="n">
        <v>0.02</v>
      </c>
      <c r="R50" s="53" t="n">
        <v>0.02</v>
      </c>
      <c r="S50" s="53" t="n">
        <v>0.02</v>
      </c>
    </row>
    <row r="51" customFormat="false" ht="15" hidden="false" customHeight="false" outlineLevel="0" collapsed="false">
      <c r="B51" s="52" t="n">
        <v>45790</v>
      </c>
      <c r="C51" s="15" t="n">
        <v>586.4921</v>
      </c>
      <c r="D51" s="21" t="n">
        <v>18.22</v>
      </c>
      <c r="E51" s="15" t="n">
        <v>0.14159</v>
      </c>
      <c r="F51" s="15" t="n">
        <v>0.673387</v>
      </c>
      <c r="G51" s="15" t="n">
        <v>10.11082</v>
      </c>
      <c r="H51" s="17" t="n">
        <f aca="false">$C$7*E51+$C$8*F51+$C$9*G51</f>
        <v>-9.437433</v>
      </c>
      <c r="I51" s="17" t="n">
        <f aca="false">H51-(ABS($C$7)*Q51+ABS($C$8)*R51+ABS($C$9)*S51)</f>
        <v>-9.477433</v>
      </c>
      <c r="J51" s="13" t="n">
        <f aca="false">IF(OR(J50=1,D51&gt;=Inputs!$C$7),1,0)</f>
        <v>1</v>
      </c>
      <c r="K51" s="33" t="n">
        <f aca="false">Inputs!$C$28*(1+Inputs!$C$29*(C51/Inputs!$C$14-1))/1000000</f>
        <v>522.38854759242</v>
      </c>
      <c r="L51" s="33" t="n">
        <f aca="false">K51+($H51-$C$10)*Inputs!$C$31*Inputs!$C$30/1000000</f>
        <v>512.735645388793</v>
      </c>
      <c r="M51" s="33" t="n">
        <f aca="false">IF(J51=1,K51+($C$14-$C$10)*Inputs!$C$31*Inputs!$C$30/1000000,L51)</f>
        <v>555.620570325936</v>
      </c>
      <c r="N51" s="33" t="n">
        <f aca="false">IF(Inputs!$C$6=1,L51,M51)</f>
        <v>555.620570325936</v>
      </c>
      <c r="O51" s="33" t="n">
        <f aca="false">MAX(O50,N51)</f>
        <v>555.620570325936</v>
      </c>
      <c r="P51" s="43" t="n">
        <f aca="false">N51/O51-1</f>
        <v>0</v>
      </c>
      <c r="Q51" s="53" t="n">
        <v>0.005</v>
      </c>
      <c r="R51" s="53" t="n">
        <v>0.01</v>
      </c>
      <c r="S51" s="53" t="n">
        <v>0.03</v>
      </c>
    </row>
    <row r="52" customFormat="false" ht="15" hidden="false" customHeight="false" outlineLevel="0" collapsed="false">
      <c r="B52" s="52" t="n">
        <v>45791</v>
      </c>
      <c r="C52" s="15" t="n">
        <v>587.4643</v>
      </c>
      <c r="D52" s="21" t="n">
        <v>18.62</v>
      </c>
      <c r="E52" s="15" t="n">
        <v>0.102771</v>
      </c>
      <c r="F52" s="15" t="n">
        <v>0.489564</v>
      </c>
      <c r="G52" s="15" t="n">
        <v>10.319229</v>
      </c>
      <c r="H52" s="17" t="n">
        <f aca="false">$C$7*E52+$C$8*F52+$C$9*G52</f>
        <v>-9.829665</v>
      </c>
      <c r="I52" s="17" t="n">
        <f aca="false">H52-(ABS($C$7)*Q52+ABS($C$8)*R52+ABS($C$9)*S52)</f>
        <v>-9.869665</v>
      </c>
      <c r="J52" s="13" t="n">
        <f aca="false">IF(OR(J51=1,D52&gt;=Inputs!$C$7),1,0)</f>
        <v>1</v>
      </c>
      <c r="K52" s="33" t="n">
        <f aca="false">Inputs!$C$28*(1+Inputs!$C$29*(C52/Inputs!$C$14-1))/1000000</f>
        <v>523.254486188983</v>
      </c>
      <c r="L52" s="33" t="n">
        <f aca="false">K52+($H52-$C$10)*Inputs!$C$31*Inputs!$C$30/1000000</f>
        <v>513.252222920135</v>
      </c>
      <c r="M52" s="33" t="n">
        <f aca="false">IF(J52=1,K52+($C$14-$C$10)*Inputs!$C$31*Inputs!$C$30/1000000,L52)</f>
        <v>556.486508922499</v>
      </c>
      <c r="N52" s="33" t="n">
        <f aca="false">IF(Inputs!$C$6=1,L52,M52)</f>
        <v>556.486508922499</v>
      </c>
      <c r="O52" s="33" t="n">
        <f aca="false">MAX(O51,N52)</f>
        <v>556.486508922499</v>
      </c>
      <c r="P52" s="43" t="n">
        <f aca="false">N52/O52-1</f>
        <v>0</v>
      </c>
      <c r="Q52" s="53" t="n">
        <v>0.02</v>
      </c>
      <c r="R52" s="53" t="n">
        <v>0.02</v>
      </c>
      <c r="S52" s="53" t="n">
        <v>0.02</v>
      </c>
    </row>
    <row r="53" customFormat="false" ht="15" hidden="false" customHeight="false" outlineLevel="0" collapsed="false">
      <c r="B53" s="52" t="n">
        <v>45792</v>
      </c>
      <c r="C53" s="15" t="n">
        <v>590.1901</v>
      </c>
      <c r="D53" s="21" t="n">
        <v>17.83</v>
      </c>
      <c r="E53" s="15" t="n">
        <v>0.087268</v>
      </c>
      <c r="F53" s="15" t="n">
        <v>0.403331</v>
      </c>
      <c r="G53" s="15" t="n">
        <v>12.020425</v>
      </c>
      <c r="H53" s="17" t="n">
        <f aca="false">$C$7*E53+$C$8*F53+$C$9*G53</f>
        <v>-11.617094</v>
      </c>
      <c r="I53" s="17" t="n">
        <f aca="false">H53-(ABS($C$7)*Q53+ABS($C$8)*R53+ABS($C$9)*S53)</f>
        <v>-11.667094</v>
      </c>
      <c r="J53" s="13" t="n">
        <f aca="false">IF(OR(J52=1,D53&gt;=Inputs!$C$7),1,0)</f>
        <v>1</v>
      </c>
      <c r="K53" s="33" t="n">
        <f aca="false">Inputs!$C$28*(1+Inputs!$C$29*(C53/Inputs!$C$14-1))/1000000</f>
        <v>525.682356407572</v>
      </c>
      <c r="L53" s="33" t="n">
        <f aca="false">K53+($H53-$C$10)*Inputs!$C$31*Inputs!$C$30/1000000</f>
        <v>514.08803002443</v>
      </c>
      <c r="M53" s="33" t="n">
        <f aca="false">IF(J53=1,K53+($C$14-$C$10)*Inputs!$C$31*Inputs!$C$30/1000000,L53)</f>
        <v>558.914379141087</v>
      </c>
      <c r="N53" s="33" t="n">
        <f aca="false">IF(Inputs!$C$6=1,L53,M53)</f>
        <v>558.914379141087</v>
      </c>
      <c r="O53" s="33" t="n">
        <f aca="false">MAX(O52,N53)</f>
        <v>558.914379141087</v>
      </c>
      <c r="P53" s="43" t="n">
        <f aca="false">N53/O53-1</f>
        <v>0</v>
      </c>
      <c r="Q53" s="53" t="n">
        <v>0.005</v>
      </c>
      <c r="R53" s="53" t="n">
        <v>0.005</v>
      </c>
      <c r="S53" s="53" t="n">
        <v>0.045</v>
      </c>
    </row>
    <row r="54" customFormat="false" ht="15" hidden="false" customHeight="false" outlineLevel="0" collapsed="false">
      <c r="B54" s="52" t="n">
        <v>45793</v>
      </c>
      <c r="C54" s="15" t="n">
        <v>593.7321</v>
      </c>
      <c r="D54" s="21" t="n">
        <v>17.24</v>
      </c>
      <c r="E54" s="15" t="n">
        <v>0.046961</v>
      </c>
      <c r="F54" s="15" t="n">
        <v>0.207032</v>
      </c>
      <c r="G54" s="15" t="n">
        <v>14.118955</v>
      </c>
      <c r="H54" s="17" t="n">
        <f aca="false">$C$7*E54+$C$8*F54+$C$9*G54</f>
        <v>-13.911923</v>
      </c>
      <c r="I54" s="17" t="n">
        <f aca="false">H54-(ABS($C$7)*Q54+ABS($C$8)*R54+ABS($C$9)*S54)</f>
        <v>-13.956923</v>
      </c>
      <c r="J54" s="13" t="n">
        <f aca="false">IF(OR(J53=1,D54&gt;=Inputs!$C$7),1,0)</f>
        <v>1</v>
      </c>
      <c r="K54" s="33" t="n">
        <f aca="false">Inputs!$C$28*(1+Inputs!$C$29*(C54/Inputs!$C$14-1))/1000000</f>
        <v>528.837216013647</v>
      </c>
      <c r="L54" s="33" t="n">
        <f aca="false">K54+($H54-$C$10)*Inputs!$C$31*Inputs!$C$30/1000000</f>
        <v>515.198885306691</v>
      </c>
      <c r="M54" s="33" t="n">
        <f aca="false">IF(J54=1,K54+($C$14-$C$10)*Inputs!$C$31*Inputs!$C$30/1000000,L54)</f>
        <v>562.069238747163</v>
      </c>
      <c r="N54" s="33" t="n">
        <f aca="false">IF(Inputs!$C$6=1,L54,M54)</f>
        <v>562.069238747163</v>
      </c>
      <c r="O54" s="33" t="n">
        <f aca="false">MAX(O53,N54)</f>
        <v>562.069238747163</v>
      </c>
      <c r="P54" s="43" t="n">
        <f aca="false">N54/O54-1</f>
        <v>0</v>
      </c>
      <c r="Q54" s="53" t="n">
        <v>0.005</v>
      </c>
      <c r="R54" s="53" t="n">
        <v>0.005</v>
      </c>
      <c r="S54" s="53" t="n">
        <v>0.04</v>
      </c>
    </row>
    <row r="55" customFormat="false" ht="15" hidden="false" customHeight="false" outlineLevel="0" collapsed="false">
      <c r="B55" s="52" t="n">
        <v>45796</v>
      </c>
      <c r="C55" s="15" t="n">
        <v>594.2951</v>
      </c>
      <c r="D55" s="21" t="n">
        <v>18.14</v>
      </c>
      <c r="E55" s="15" t="n">
        <v>0.039781</v>
      </c>
      <c r="F55" s="15" t="n">
        <v>0.177767</v>
      </c>
      <c r="G55" s="15" t="n">
        <v>14.394634</v>
      </c>
      <c r="H55" s="17" t="n">
        <f aca="false">$C$7*E55+$C$8*F55+$C$9*G55</f>
        <v>-14.216867</v>
      </c>
      <c r="I55" s="17" t="n">
        <f aca="false">H55-(ABS($C$7)*Q55+ABS($C$8)*R55+ABS($C$9)*S55)</f>
        <v>-14.271867</v>
      </c>
      <c r="J55" s="13" t="n">
        <f aca="false">IF(OR(J54=1,D55&gt;=Inputs!$C$7),1,0)</f>
        <v>1</v>
      </c>
      <c r="K55" s="33" t="n">
        <f aca="false">Inputs!$C$28*(1+Inputs!$C$29*(C55/Inputs!$C$14-1))/1000000</f>
        <v>529.338680146403</v>
      </c>
      <c r="L55" s="33" t="n">
        <f aca="false">K55+($H55-$C$10)*Inputs!$C$31*Inputs!$C$30/1000000</f>
        <v>515.428735800905</v>
      </c>
      <c r="M55" s="33" t="n">
        <f aca="false">IF(J55=1,K55+($C$14-$C$10)*Inputs!$C$31*Inputs!$C$30/1000000,L55)</f>
        <v>562.570702879918</v>
      </c>
      <c r="N55" s="33" t="n">
        <f aca="false">IF(Inputs!$C$6=1,L55,M55)</f>
        <v>562.570702879918</v>
      </c>
      <c r="O55" s="33" t="n">
        <f aca="false">MAX(O54,N55)</f>
        <v>562.570702879918</v>
      </c>
      <c r="P55" s="43" t="n">
        <f aca="false">N55/O55-1</f>
        <v>0</v>
      </c>
      <c r="Q55" s="53" t="n">
        <v>0.005</v>
      </c>
      <c r="R55" s="53" t="n">
        <v>0.005</v>
      </c>
      <c r="S55" s="53" t="n">
        <v>0.05</v>
      </c>
    </row>
    <row r="56" customFormat="false" ht="15" hidden="false" customHeight="false" outlineLevel="0" collapsed="false">
      <c r="B56" s="52" t="n">
        <v>45797</v>
      </c>
      <c r="C56" s="15" t="n">
        <v>592.4082</v>
      </c>
      <c r="D56" s="21" t="n">
        <v>18.09</v>
      </c>
      <c r="E56" s="15" t="n">
        <v>0.016622</v>
      </c>
      <c r="F56" s="15" t="n">
        <v>0.160781</v>
      </c>
      <c r="G56" s="15" t="n">
        <v>12.509143</v>
      </c>
      <c r="H56" s="17" t="n">
        <f aca="false">$C$7*E56+$C$8*F56+$C$9*G56</f>
        <v>-12.348362</v>
      </c>
      <c r="I56" s="17" t="n">
        <f aca="false">H56-(ABS($C$7)*Q56+ABS($C$8)*R56+ABS($C$9)*S56)</f>
        <v>-12.388362</v>
      </c>
      <c r="J56" s="13" t="n">
        <f aca="false">IF(OR(J55=1,D56&gt;=Inputs!$C$7),1,0)</f>
        <v>1</v>
      </c>
      <c r="K56" s="33" t="n">
        <f aca="false">Inputs!$C$28*(1+Inputs!$C$29*(C56/Inputs!$C$14-1))/1000000</f>
        <v>527.658018206622</v>
      </c>
      <c r="L56" s="33" t="n">
        <f aca="false">K56+($H56-$C$10)*Inputs!$C$31*Inputs!$C$30/1000000</f>
        <v>515.412351373335</v>
      </c>
      <c r="M56" s="33" t="n">
        <f aca="false">IF(J56=1,K56+($C$14-$C$10)*Inputs!$C$31*Inputs!$C$30/1000000,L56)</f>
        <v>560.890040940137</v>
      </c>
      <c r="N56" s="33" t="n">
        <f aca="false">IF(Inputs!$C$6=1,L56,M56)</f>
        <v>560.890040940137</v>
      </c>
      <c r="O56" s="33" t="n">
        <f aca="false">MAX(O55,N56)</f>
        <v>562.570702879918</v>
      </c>
      <c r="P56" s="43" t="n">
        <f aca="false">N56/O56-1</f>
        <v>-0.00298746794167792</v>
      </c>
      <c r="Q56" s="53" t="n">
        <v>0.02</v>
      </c>
      <c r="R56" s="53" t="n">
        <v>0.02</v>
      </c>
      <c r="S56" s="53" t="n">
        <v>0.02</v>
      </c>
    </row>
    <row r="57" customFormat="false" ht="15" hidden="false" customHeight="false" outlineLevel="0" collapsed="false">
      <c r="B57" s="52" t="n">
        <v>45798</v>
      </c>
      <c r="C57" s="15" t="n">
        <v>582.4914</v>
      </c>
      <c r="D57" s="21" t="n">
        <v>20.87</v>
      </c>
      <c r="E57" s="15" t="n">
        <v>0.062324</v>
      </c>
      <c r="F57" s="15" t="n">
        <v>0.324395</v>
      </c>
      <c r="G57" s="15" t="n">
        <v>6.134638</v>
      </c>
      <c r="H57" s="17" t="n">
        <f aca="false">$C$7*E57+$C$8*F57+$C$9*G57</f>
        <v>-5.810243</v>
      </c>
      <c r="I57" s="17" t="n">
        <f aca="false">H57-(ABS($C$7)*Q57+ABS($C$8)*R57+ABS($C$9)*S57)</f>
        <v>-5.850243</v>
      </c>
      <c r="J57" s="13" t="n">
        <f aca="false">IF(OR(J56=1,D57&gt;=Inputs!$C$7),1,0)</f>
        <v>1</v>
      </c>
      <c r="K57" s="33" t="n">
        <f aca="false">Inputs!$C$28*(1+Inputs!$C$29*(C57/Inputs!$C$14-1))/1000000</f>
        <v>518.825123869657</v>
      </c>
      <c r="L57" s="33" t="n">
        <f aca="false">K57+($H57-$C$10)*Inputs!$C$31*Inputs!$C$30/1000000</f>
        <v>512.402960010061</v>
      </c>
      <c r="M57" s="33" t="n">
        <f aca="false">IF(J57=1,K57+($C$14-$C$10)*Inputs!$C$31*Inputs!$C$30/1000000,L57)</f>
        <v>552.057146603173</v>
      </c>
      <c r="N57" s="33" t="n">
        <f aca="false">IF(Inputs!$C$6=1,L57,M57)</f>
        <v>552.057146603173</v>
      </c>
      <c r="O57" s="33" t="n">
        <f aca="false">MAX(O56,N57)</f>
        <v>562.570702879918</v>
      </c>
      <c r="P57" s="43" t="n">
        <f aca="false">N57/O57-1</f>
        <v>-0.0186884176920774</v>
      </c>
      <c r="Q57" s="53" t="n">
        <v>0.02</v>
      </c>
      <c r="R57" s="53" t="n">
        <v>0.02</v>
      </c>
      <c r="S57" s="53" t="n">
        <v>0.02</v>
      </c>
    </row>
    <row r="58" customFormat="false" ht="15" hidden="false" customHeight="false" outlineLevel="0" collapsed="false">
      <c r="B58" s="52" t="n">
        <v>45799</v>
      </c>
      <c r="C58" s="15" t="n">
        <v>582.9206</v>
      </c>
      <c r="D58" s="21" t="n">
        <v>20.28</v>
      </c>
      <c r="E58" s="15" t="n">
        <v>0.04944</v>
      </c>
      <c r="F58" s="15" t="n">
        <v>0.264199</v>
      </c>
      <c r="G58" s="15" t="n">
        <v>5.77836</v>
      </c>
      <c r="H58" s="17" t="n">
        <f aca="false">$C$7*E58+$C$8*F58+$C$9*G58</f>
        <v>-5.514161</v>
      </c>
      <c r="I58" s="17" t="n">
        <f aca="false">H58-(ABS($C$7)*Q58+ABS($C$8)*R58+ABS($C$9)*S58)</f>
        <v>-5.554161</v>
      </c>
      <c r="J58" s="13" t="n">
        <f aca="false">IF(OR(J57=1,D58&gt;=Inputs!$C$7),1,0)</f>
        <v>1</v>
      </c>
      <c r="K58" s="33" t="n">
        <f aca="false">Inputs!$C$28*(1+Inputs!$C$29*(C58/Inputs!$C$14-1))/1000000</f>
        <v>519.207412334628</v>
      </c>
      <c r="L58" s="33" t="n">
        <f aca="false">K58+($H58-$C$10)*Inputs!$C$31*Inputs!$C$30/1000000</f>
        <v>513.048968729659</v>
      </c>
      <c r="M58" s="33" t="n">
        <f aca="false">IF(J58=1,K58+($C$14-$C$10)*Inputs!$C$31*Inputs!$C$30/1000000,L58)</f>
        <v>552.439435068144</v>
      </c>
      <c r="N58" s="33" t="n">
        <f aca="false">IF(Inputs!$C$6=1,L58,M58)</f>
        <v>552.439435068144</v>
      </c>
      <c r="O58" s="33" t="n">
        <f aca="false">MAX(O57,N58)</f>
        <v>562.570702879918</v>
      </c>
      <c r="P58" s="43" t="n">
        <f aca="false">N58/O58-1</f>
        <v>-0.0180088791682721</v>
      </c>
      <c r="Q58" s="53" t="n">
        <v>0.02</v>
      </c>
      <c r="R58" s="53" t="n">
        <v>0.02</v>
      </c>
      <c r="S58" s="53" t="n">
        <v>0.02</v>
      </c>
    </row>
    <row r="59" customFormat="false" ht="15" hidden="false" customHeight="false" outlineLevel="0" collapsed="false">
      <c r="B59" s="52" t="n">
        <v>45800</v>
      </c>
      <c r="C59" s="15" t="n">
        <v>577.8082</v>
      </c>
      <c r="D59" s="21" t="n">
        <v>22.29</v>
      </c>
      <c r="E59" s="15" t="n">
        <v>0.061573</v>
      </c>
      <c r="F59" s="15" t="n">
        <v>0.406587</v>
      </c>
      <c r="G59" s="15" t="n">
        <v>3.391806</v>
      </c>
      <c r="H59" s="17" t="n">
        <f aca="false">$C$7*E59+$C$8*F59+$C$9*G59</f>
        <v>-2.985219</v>
      </c>
      <c r="I59" s="17" t="n">
        <f aca="false">H59-(ABS($C$7)*Q59+ABS($C$8)*R59+ABS($C$9)*S59)</f>
        <v>-3.025219</v>
      </c>
      <c r="J59" s="13" t="n">
        <f aca="false">IF(OR(J58=1,D59&gt;=Inputs!$C$7),1,0)</f>
        <v>1</v>
      </c>
      <c r="K59" s="33" t="n">
        <f aca="false">Inputs!$C$28*(1+Inputs!$C$29*(C59/Inputs!$C$14-1))/1000000</f>
        <v>514.653797357186</v>
      </c>
      <c r="L59" s="33" t="n">
        <f aca="false">K59+($H59-$C$10)*Inputs!$C$31*Inputs!$C$30/1000000</f>
        <v>510.747882538752</v>
      </c>
      <c r="M59" s="33" t="n">
        <f aca="false">IF(J59=1,K59+($C$14-$C$10)*Inputs!$C$31*Inputs!$C$30/1000000,L59)</f>
        <v>547.885820090702</v>
      </c>
      <c r="N59" s="33" t="n">
        <f aca="false">IF(Inputs!$C$6=1,L59,M59)</f>
        <v>547.885820090702</v>
      </c>
      <c r="O59" s="33" t="n">
        <f aca="false">MAX(O58,N59)</f>
        <v>562.570702879918</v>
      </c>
      <c r="P59" s="43" t="n">
        <f aca="false">N59/O59-1</f>
        <v>-0.0261031772789472</v>
      </c>
      <c r="Q59" s="53" t="n">
        <v>0.02</v>
      </c>
      <c r="R59" s="53" t="n">
        <v>0.02</v>
      </c>
      <c r="S59" s="53" t="n">
        <v>0.02</v>
      </c>
    </row>
    <row r="60" customFormat="false" ht="15" hidden="false" customHeight="false" outlineLevel="0" collapsed="false">
      <c r="B60" s="52" t="n">
        <v>45804</v>
      </c>
      <c r="C60" s="15" t="n">
        <v>590.6566</v>
      </c>
      <c r="D60" s="21" t="n">
        <v>18.96</v>
      </c>
      <c r="E60" s="15" t="n">
        <v>0.005859</v>
      </c>
      <c r="F60" s="15" t="n">
        <v>0.056137</v>
      </c>
      <c r="G60" s="15" t="n">
        <v>8.982724</v>
      </c>
      <c r="H60" s="17" t="n">
        <f aca="false">$C$7*E60+$C$8*F60+$C$9*G60</f>
        <v>-8.926587</v>
      </c>
      <c r="I60" s="17" t="n">
        <f aca="false">H60-(ABS($C$7)*Q60+ABS($C$8)*R60+ABS($C$9)*S60)</f>
        <v>-8.966587</v>
      </c>
      <c r="J60" s="13" t="n">
        <f aca="false">IF(OR(J59=1,D60&gt;=Inputs!$C$7),1,0)</f>
        <v>1</v>
      </c>
      <c r="K60" s="33" t="n">
        <f aca="false">Inputs!$C$28*(1+Inputs!$C$29*(C60/Inputs!$C$14-1))/1000000</f>
        <v>526.097867984713</v>
      </c>
      <c r="L60" s="33" t="n">
        <f aca="false">K60+($H60-$C$10)*Inputs!$C$31*Inputs!$C$30/1000000</f>
        <v>516.899976343007</v>
      </c>
      <c r="M60" s="33" t="n">
        <f aca="false">IF(J60=1,K60+($C$14-$C$10)*Inputs!$C$31*Inputs!$C$30/1000000,L60)</f>
        <v>559.329890718229</v>
      </c>
      <c r="N60" s="33" t="n">
        <f aca="false">IF(Inputs!$C$6=1,L60,M60)</f>
        <v>559.329890718229</v>
      </c>
      <c r="O60" s="33" t="n">
        <f aca="false">MAX(O59,N60)</f>
        <v>562.570702879918</v>
      </c>
      <c r="P60" s="43" t="n">
        <f aca="false">N60/O60-1</f>
        <v>-0.00576071975504489</v>
      </c>
      <c r="Q60" s="53" t="n">
        <v>0.02</v>
      </c>
      <c r="R60" s="53" t="n">
        <v>0.02</v>
      </c>
      <c r="S60" s="53" t="n">
        <v>0.02</v>
      </c>
    </row>
    <row r="61" customFormat="false" ht="15" hidden="false" customHeight="false" outlineLevel="0" collapsed="false">
      <c r="B61" s="52" t="n">
        <v>45805</v>
      </c>
      <c r="C61" s="15" t="n">
        <v>587.5116</v>
      </c>
      <c r="D61" s="21" t="n">
        <v>19.31</v>
      </c>
      <c r="E61" s="15" t="n">
        <v>0.001025</v>
      </c>
      <c r="F61" s="15" t="n">
        <v>0.024615</v>
      </c>
      <c r="G61" s="15" t="n">
        <v>5.955861</v>
      </c>
      <c r="H61" s="17" t="n">
        <f aca="false">$C$7*E61+$C$8*F61+$C$9*G61</f>
        <v>-5.931246</v>
      </c>
      <c r="I61" s="17" t="n">
        <f aca="false">H61-(ABS($C$7)*Q61+ABS($C$8)*R61+ABS($C$9)*S61)</f>
        <v>-5.971246</v>
      </c>
      <c r="J61" s="13" t="n">
        <f aca="false">IF(OR(J60=1,D61&gt;=Inputs!$C$7),1,0)</f>
        <v>1</v>
      </c>
      <c r="K61" s="33" t="n">
        <f aca="false">Inputs!$C$28*(1+Inputs!$C$29*(C61/Inputs!$C$14-1))/1000000</f>
        <v>523.296616301735</v>
      </c>
      <c r="L61" s="33" t="n">
        <f aca="false">K61+($H61-$C$10)*Inputs!$C$31*Inputs!$C$30/1000000</f>
        <v>516.766675062999</v>
      </c>
      <c r="M61" s="33" t="n">
        <f aca="false">IF(J61=1,K61+($C$14-$C$10)*Inputs!$C$31*Inputs!$C$30/1000000,L61)</f>
        <v>556.528639035251</v>
      </c>
      <c r="N61" s="33" t="n">
        <f aca="false">IF(Inputs!$C$6=1,L61,M61)</f>
        <v>556.528639035251</v>
      </c>
      <c r="O61" s="33" t="n">
        <f aca="false">MAX(O60,N61)</f>
        <v>562.570702879918</v>
      </c>
      <c r="P61" s="43" t="n">
        <f aca="false">N61/O61-1</f>
        <v>-0.0107400968691349</v>
      </c>
      <c r="Q61" s="53" t="n">
        <v>0.02</v>
      </c>
      <c r="R61" s="53" t="n">
        <v>0.02</v>
      </c>
      <c r="S61" s="53" t="n">
        <v>0.02</v>
      </c>
    </row>
    <row r="62" customFormat="false" ht="15" hidden="false" customHeight="false" outlineLevel="0" collapsed="false">
      <c r="B62" s="52" t="n">
        <v>45806</v>
      </c>
      <c r="C62" s="15" t="n">
        <v>588.7704</v>
      </c>
      <c r="D62" s="21" t="n">
        <v>19.18</v>
      </c>
      <c r="E62" s="15" t="n">
        <v>0.000143</v>
      </c>
      <c r="F62" s="15" t="n">
        <v>0.008657</v>
      </c>
      <c r="G62" s="15" t="n">
        <v>6.328938</v>
      </c>
      <c r="H62" s="17" t="n">
        <f aca="false">$C$7*E62+$C$8*F62+$C$9*G62</f>
        <v>-6.320281</v>
      </c>
      <c r="I62" s="17" t="n">
        <f aca="false">H62-(ABS($C$7)*Q62+ABS($C$8)*R62+ABS($C$9)*S62)</f>
        <v>-6.360281</v>
      </c>
      <c r="J62" s="13" t="n">
        <f aca="false">IF(OR(J61=1,D62&gt;=Inputs!$C$7),1,0)</f>
        <v>1</v>
      </c>
      <c r="K62" s="33" t="n">
        <f aca="false">Inputs!$C$28*(1+Inputs!$C$29*(C62/Inputs!$C$14-1))/1000000</f>
        <v>524.417829534973</v>
      </c>
      <c r="L62" s="33" t="n">
        <f aca="false">K62+($H62-$C$10)*Inputs!$C$31*Inputs!$C$30/1000000</f>
        <v>517.541374799103</v>
      </c>
      <c r="M62" s="33" t="n">
        <f aca="false">IF(J62=1,K62+($C$14-$C$10)*Inputs!$C$31*Inputs!$C$30/1000000,L62)</f>
        <v>557.649852268488</v>
      </c>
      <c r="N62" s="33" t="n">
        <f aca="false">IF(Inputs!$C$6=1,L62,M62)</f>
        <v>557.649852268488</v>
      </c>
      <c r="O62" s="33" t="n">
        <f aca="false">MAX(O61,N62)</f>
        <v>562.570702879918</v>
      </c>
      <c r="P62" s="43" t="n">
        <f aca="false">N62/O62-1</f>
        <v>-0.00874707940928876</v>
      </c>
      <c r="Q62" s="53" t="n">
        <v>0.02</v>
      </c>
      <c r="R62" s="53" t="n">
        <v>0.02</v>
      </c>
      <c r="S62" s="53" t="n">
        <v>0.02</v>
      </c>
    </row>
    <row r="63" customFormat="false" ht="15" hidden="false" customHeight="false" outlineLevel="0" collapsed="false">
      <c r="B63" s="52" t="n">
        <v>45807</v>
      </c>
      <c r="C63" s="15" t="n">
        <v>588.6999</v>
      </c>
      <c r="D63" s="21" t="n">
        <v>18.57</v>
      </c>
      <c r="E63" s="15" t="n">
        <v>0</v>
      </c>
      <c r="F63" s="15" t="n">
        <v>0</v>
      </c>
      <c r="G63" s="15" t="n">
        <v>5.699937</v>
      </c>
      <c r="H63" s="17" t="n">
        <f aca="false">$C$7*E63+$C$8*F63+$C$9*G63</f>
        <v>-5.699937</v>
      </c>
      <c r="I63" s="17" t="n">
        <f aca="false">H63-(ABS($C$7)*Q63+ABS($C$8)*R63+ABS($C$9)*S63)</f>
        <v>-5.699937</v>
      </c>
      <c r="J63" s="13" t="n">
        <f aca="false">IF(OR(J62=1,D63&gt;=Inputs!$C$7),1,0)</f>
        <v>1</v>
      </c>
      <c r="K63" s="33" t="n">
        <f aca="false">Inputs!$C$28*(1+Inputs!$C$29*(C63/Inputs!$C$14-1))/1000000</f>
        <v>524.355035180871</v>
      </c>
      <c r="L63" s="33" t="n">
        <f aca="false">K63+($H63-$C$10)*Inputs!$C$31*Inputs!$C$30/1000000</f>
        <v>518.031120881893</v>
      </c>
      <c r="M63" s="33" t="n">
        <f aca="false">IF(J63=1,K63+($C$14-$C$10)*Inputs!$C$31*Inputs!$C$30/1000000,L63)</f>
        <v>557.587057914387</v>
      </c>
      <c r="N63" s="33" t="n">
        <f aca="false">IF(Inputs!$C$6=1,L63,M63)</f>
        <v>557.587057914387</v>
      </c>
      <c r="O63" s="33" t="n">
        <f aca="false">MAX(O62,N63)</f>
        <v>562.570702879918</v>
      </c>
      <c r="P63" s="43" t="n">
        <f aca="false">N63/O63-1</f>
        <v>-0.00885869978656806</v>
      </c>
      <c r="Q63" s="53" t="n">
        <v>0</v>
      </c>
      <c r="R63" s="53" t="n">
        <v>0</v>
      </c>
      <c r="S63" s="53" t="n">
        <v>0</v>
      </c>
    </row>
    <row r="65" customFormat="false" ht="15" hidden="false" customHeight="false" outlineLevel="0" collapsed="false">
      <c r="B65" s="2" t="s">
        <v>155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7"/>
    <col collapsed="false" customWidth="true" hidden="false" outlineLevel="0" max="2" min="2" style="0" width="44"/>
    <col collapsed="false" customWidth="true" hidden="false" outlineLevel="0" max="5" min="3" style="0" width="14"/>
    <col collapsed="false" customWidth="true" hidden="false" outlineLevel="0" max="6" min="6" style="0" width="10"/>
  </cols>
  <sheetData>
    <row r="2" customFormat="false" ht="17.35" hidden="false" customHeight="false" outlineLevel="0" collapsed="false">
      <c r="B2" s="1" t="s">
        <v>12</v>
      </c>
    </row>
    <row r="3" customFormat="false" ht="15" hidden="false" customHeight="false" outlineLevel="0" collapsed="false">
      <c r="B3" s="2" t="s">
        <v>156</v>
      </c>
    </row>
    <row r="5" customFormat="false" ht="15" hidden="false" customHeight="false" outlineLevel="0" collapsed="false">
      <c r="B5" s="8" t="s">
        <v>157</v>
      </c>
      <c r="C5" s="9" t="s">
        <v>158</v>
      </c>
      <c r="D5" s="9" t="s">
        <v>159</v>
      </c>
      <c r="E5" s="9" t="s">
        <v>160</v>
      </c>
      <c r="F5" s="9" t="s">
        <v>161</v>
      </c>
    </row>
    <row r="6" customFormat="false" ht="15" hidden="false" customHeight="false" outlineLevel="0" collapsed="false">
      <c r="B6" s="11" t="s">
        <v>162</v>
      </c>
      <c r="C6" s="32" t="n">
        <f aca="false">SUMPRODUCT((Pricer!$D$6:$D$13=475)*(Pricer!$E$6:$E$13="P")*Pricer!$L$6:$L$13)/SUMPRODUCT((Pricer!$D$6:$D$13=475)*(Pricer!$E$6:$E$13="P"))</f>
        <v>1.87192048753099</v>
      </c>
      <c r="D6" s="15" t="n">
        <v>1.871923</v>
      </c>
      <c r="E6" s="18" t="n">
        <f aca="false">C6-D6</f>
        <v>-2.51246900795366E-006</v>
      </c>
      <c r="F6" s="34" t="str">
        <f aca="false">IF(ABS(E6)&lt;0.0001,"OK","CHECK")</f>
        <v>OK</v>
      </c>
    </row>
    <row r="7" customFormat="false" ht="15" hidden="false" customHeight="false" outlineLevel="0" collapsed="false">
      <c r="B7" s="11" t="s">
        <v>163</v>
      </c>
      <c r="C7" s="32" t="n">
        <f aca="false">SUMPRODUCT((Pricer!$D$6:$D$13=539)*(Pricer!$E$6:$E$13="P")*Pricer!$L$6:$L$13)/SUMPRODUCT((Pricer!$D$6:$D$13=539)*(Pricer!$E$6:$E$13="P"))</f>
        <v>8.07696986290198</v>
      </c>
      <c r="D7" s="15" t="n">
        <v>8.076981</v>
      </c>
      <c r="E7" s="18" t="n">
        <f aca="false">C7-D7</f>
        <v>-1.11370980206971E-005</v>
      </c>
      <c r="F7" s="34" t="str">
        <f aca="false">IF(ABS(E7)&lt;0.0001,"OK","CHECK")</f>
        <v>OK</v>
      </c>
    </row>
    <row r="8" customFormat="false" ht="15" hidden="false" customHeight="false" outlineLevel="0" collapsed="false">
      <c r="B8" s="11" t="s">
        <v>164</v>
      </c>
      <c r="C8" s="32" t="n">
        <f aca="false">SUMPRODUCT((Pricer!$D$6:$D$13=583)*(Pricer!$E$6:$E$13="C")*Pricer!$L$6:$L$13)/SUMPRODUCT((Pricer!$D$6:$D$13=583)*(Pricer!$E$6:$E$13="C"))</f>
        <v>6.81209198456449</v>
      </c>
      <c r="D8" s="15" t="n">
        <v>6.812081</v>
      </c>
      <c r="E8" s="18" t="n">
        <f aca="false">C8-D8</f>
        <v>1.09845644891138E-005</v>
      </c>
      <c r="F8" s="34" t="str">
        <f aca="false">IF(ABS(E8)&lt;0.0001,"OK","CHECK")</f>
        <v>OK</v>
      </c>
    </row>
    <row r="10" customFormat="false" ht="15" hidden="false" customHeight="false" outlineLevel="0" collapsed="false">
      <c r="B10" s="8" t="s">
        <v>165</v>
      </c>
      <c r="C10" s="9" t="s">
        <v>166</v>
      </c>
      <c r="D10" s="9" t="s">
        <v>167</v>
      </c>
      <c r="E10" s="9"/>
      <c r="F10" s="9"/>
    </row>
    <row r="11" customFormat="false" ht="15" hidden="false" customHeight="false" outlineLevel="0" collapsed="false">
      <c r="B11" s="11" t="s">
        <v>69</v>
      </c>
      <c r="C11" s="54" t="n">
        <v>516.91</v>
      </c>
      <c r="D11" s="54" t="n">
        <v>552.97</v>
      </c>
    </row>
    <row r="12" customFormat="false" ht="15" hidden="false" customHeight="false" outlineLevel="0" collapsed="false">
      <c r="B12" s="11" t="s">
        <v>72</v>
      </c>
      <c r="C12" s="54" t="n">
        <v>518.49</v>
      </c>
      <c r="D12" s="54" t="n">
        <v>541.12</v>
      </c>
    </row>
    <row r="13" customFormat="false" ht="15" hidden="false" customHeight="false" outlineLevel="0" collapsed="false">
      <c r="B13" s="11" t="s">
        <v>73</v>
      </c>
      <c r="C13" s="54" t="n">
        <v>518.03</v>
      </c>
      <c r="D13" s="54" t="n">
        <v>557.59</v>
      </c>
    </row>
    <row r="14" customFormat="false" ht="15" hidden="false" customHeight="false" outlineLevel="0" collapsed="false">
      <c r="B14" s="11" t="s">
        <v>75</v>
      </c>
      <c r="C14" s="54" t="n">
        <v>519.61</v>
      </c>
      <c r="D14" s="54" t="n">
        <v>545.74</v>
      </c>
    </row>
    <row r="16" customFormat="false" ht="15" hidden="false" customHeight="false" outlineLevel="0" collapsed="false">
      <c r="B16" s="8" t="s">
        <v>168</v>
      </c>
      <c r="C16" s="9" t="s">
        <v>158</v>
      </c>
      <c r="D16" s="9" t="s">
        <v>159</v>
      </c>
      <c r="E16" s="9" t="s">
        <v>160</v>
      </c>
      <c r="F16" s="9" t="s">
        <v>161</v>
      </c>
    </row>
    <row r="17" customFormat="false" ht="15" hidden="false" customHeight="false" outlineLevel="0" collapsed="false">
      <c r="B17" s="26" t="str">
        <f aca="false">Inputs!D5&amp;" · "&amp;Inputs!D6</f>
        <v>Collar 539/583 · Sell at VIX trigger</v>
      </c>
      <c r="C17" s="44" t="n">
        <f aca="false">Paths!C17</f>
        <v>557.587057914387</v>
      </c>
      <c r="D17" s="33" t="n">
        <f aca="false">IF(Inputs!$C$7&lt;&gt;40,NA(),IF(Inputs!$C$6=1,INDEX(C11:C14,Inputs!$C$5),INDEX(D11:D14,Inputs!$C$5)))</f>
        <v>557.59</v>
      </c>
      <c r="E17" s="55" t="n">
        <f aca="false">IFERROR(C17-D17,"trigger ≠ 40")</f>
        <v>-0.00294208561342657</v>
      </c>
      <c r="F17" s="34" t="str">
        <f aca="false">IF(ISNUMBER(E17),IF(ABS(E17)&lt;0.05,"OK","CHECK"),"n/a")</f>
        <v>OK</v>
      </c>
    </row>
    <row r="19" customFormat="false" ht="15" hidden="false" customHeight="false" outlineLevel="0" collapsed="false">
      <c r="B19" s="2" t="s">
        <v>169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AppVersion>16.0300</AppVersion>
  <Company>Alessandro Radice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Radice</dc:creator>
  <dc:description>Educational project. Market data from DoltHub, Cboe and FRED; assumptions marked.</dc:description>
  <cp:keywords>volatility surface SVI options hedging collar S&amp;P 500</cp:keywords>
  <dc:language>en-US</dc:language>
  <cp:lastModifiedBy>Alessandro Radice</cp:lastModifiedBy>
  <cp:revision>0</cp:revision>
  <dc:subject>SPY option hedges priced on the 1 April 2025 SVI slice: pricer, scenarios, daily paths, hold vs sell rule</dc:subject>
  <dc:title>S&amp;P 500 Hedging Analysis: Volatility Surface and Collar Pricing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